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r.moraes\Desktop\12 -DEZEMBRO 2020\"/>
    </mc:Choice>
  </mc:AlternateContent>
  <xr:revisionPtr revIDLastSave="0" documentId="13_ncr:1_{B2958FBB-BD44-4787-BEE3-16EE00083FF1}" xr6:coauthVersionLast="46" xr6:coauthVersionMax="46" xr10:uidLastSave="{00000000-0000-0000-0000-000000000000}"/>
  <bookViews>
    <workbookView xWindow="-120" yWindow="-120" windowWidth="20730" windowHeight="11160" tabRatio="782" firstSheet="2" activeTab="2" xr2:uid="{00000000-000D-0000-FFFF-FFFF00000000}"/>
  </bookViews>
  <sheets>
    <sheet name="Sumário" sheetId="7" state="hidden" r:id="rId1"/>
    <sheet name="Sumário Provisório" sheetId="10" state="hidden" r:id="rId2"/>
    <sheet name="Plano_Estatístico_2020_HJB" sheetId="5" r:id="rId3"/>
    <sheet name="% de Ocupação" sheetId="8" r:id="rId4"/>
    <sheet name="% de Ocupação Trimestral" sheetId="9" r:id="rId5"/>
    <sheet name="Média de Permanência" sheetId="11" r:id="rId6"/>
    <sheet name="Resumo_nov.2019" sheetId="13" state="hidden" r:id="rId7"/>
  </sheets>
  <definedNames>
    <definedName name="_xlnm._FilterDatabase" localSheetId="2" hidden="1">Plano_Estatístico_2020_HJB!$A$21:$A$36</definedName>
    <definedName name="_xlnm.Print_Area" localSheetId="3">'% de Ocupação'!$A$7:$M$57</definedName>
    <definedName name="_xlnm.Print_Area" localSheetId="4">'% de Ocupação Trimestral'!$A$10:$P$61</definedName>
    <definedName name="_xlnm.Print_Area" localSheetId="5">'Média de Permanência'!$A$7:$M$61</definedName>
    <definedName name="_xlnm.Print_Area" localSheetId="2">Plano_Estatístico_2020_HJB!$A$1:$O$1918</definedName>
    <definedName name="_xlnm.Print_Area" localSheetId="1">'Sumário Provisório'!$A$1:$K$44</definedName>
  </definedNames>
  <calcPr calcId="191029" iterateDelta="1E-4"/>
</workbook>
</file>

<file path=xl/calcChain.xml><?xml version="1.0" encoding="utf-8"?>
<calcChain xmlns="http://schemas.openxmlformats.org/spreadsheetml/2006/main">
  <c r="C74" i="5" l="1"/>
  <c r="D74" i="5"/>
  <c r="E74" i="5"/>
  <c r="F74" i="5"/>
  <c r="G74" i="5"/>
  <c r="H74" i="5"/>
  <c r="I74" i="5"/>
  <c r="J74" i="5"/>
  <c r="K74" i="5"/>
  <c r="L74" i="5"/>
  <c r="M74" i="5"/>
  <c r="M398" i="5" l="1"/>
  <c r="M382" i="5"/>
  <c r="M371" i="5"/>
  <c r="M1831" i="5" l="1"/>
  <c r="M1816" i="5"/>
  <c r="M645" i="5" l="1"/>
  <c r="M591" i="5"/>
  <c r="M1667" i="5" l="1"/>
  <c r="M1668" i="5" s="1"/>
  <c r="M1660" i="5"/>
  <c r="M1661" i="5" s="1"/>
  <c r="M1655" i="5"/>
  <c r="M1656" i="5" s="1"/>
  <c r="M1645" i="5"/>
  <c r="M1646" i="5" s="1"/>
  <c r="M648" i="5"/>
  <c r="M656" i="5" s="1"/>
  <c r="M1084" i="5"/>
  <c r="M1088" i="5" s="1"/>
  <c r="M1079" i="5"/>
  <c r="M1087" i="5" s="1"/>
  <c r="M1089" i="5" s="1"/>
  <c r="M1050" i="5"/>
  <c r="M1054" i="5" s="1"/>
  <c r="M1045" i="5"/>
  <c r="M1053" i="5" s="1"/>
  <c r="M1055" i="5" s="1"/>
  <c r="M1028" i="5"/>
  <c r="M1032" i="5" s="1"/>
  <c r="M1033" i="5" s="1"/>
  <c r="M1037" i="5" s="1"/>
  <c r="M1017" i="5"/>
  <c r="M1036" i="5" s="1"/>
  <c r="M1010" i="5"/>
  <c r="M999" i="5"/>
  <c r="M969" i="5"/>
  <c r="M966" i="5"/>
  <c r="M970" i="5" s="1"/>
  <c r="M961" i="5"/>
  <c r="M962" i="5" s="1"/>
  <c r="M954" i="5"/>
  <c r="M955" i="5" s="1"/>
  <c r="M797" i="5"/>
  <c r="M793" i="5"/>
  <c r="M788" i="5"/>
  <c r="M796" i="5" s="1"/>
  <c r="M754" i="5"/>
  <c r="M755" i="5" s="1"/>
  <c r="M621" i="5"/>
  <c r="M517" i="5"/>
  <c r="M503" i="5"/>
  <c r="M508" i="5" s="1"/>
  <c r="M498" i="5"/>
  <c r="M489" i="5"/>
  <c r="M490" i="5" s="1"/>
  <c r="M476" i="5"/>
  <c r="M477" i="5" s="1"/>
  <c r="M470" i="5"/>
  <c r="M463" i="5"/>
  <c r="M465" i="5" s="1"/>
  <c r="M459" i="5"/>
  <c r="M461" i="5" s="1"/>
  <c r="M452" i="5"/>
  <c r="M444" i="5"/>
  <c r="M445" i="5" s="1"/>
  <c r="N423" i="5"/>
  <c r="O423" i="5" s="1"/>
  <c r="M432" i="5"/>
  <c r="M798" i="5" l="1"/>
  <c r="M1038" i="5"/>
  <c r="M649" i="5"/>
  <c r="M971" i="5"/>
  <c r="M967" i="5"/>
  <c r="M415" i="5"/>
  <c r="M399" i="5"/>
  <c r="M400" i="5" s="1"/>
  <c r="M384" i="5"/>
  <c r="M373" i="5"/>
  <c r="M375" i="5" s="1"/>
  <c r="M379" i="5" s="1"/>
  <c r="M377" i="5" l="1"/>
  <c r="M762" i="5"/>
  <c r="M759" i="5"/>
  <c r="M760" i="5" s="1"/>
  <c r="M624" i="5"/>
  <c r="M625" i="5" s="1"/>
  <c r="M617" i="5"/>
  <c r="M618" i="5" s="1"/>
  <c r="M615" i="5"/>
  <c r="M628" i="5" s="1"/>
  <c r="M629" i="5" s="1"/>
  <c r="M630" i="5" s="1"/>
  <c r="M1774" i="5"/>
  <c r="M763" i="5" l="1"/>
  <c r="M764" i="5"/>
  <c r="M632" i="5"/>
  <c r="M633" i="5"/>
  <c r="M1703" i="5"/>
  <c r="M1704" i="5" s="1"/>
  <c r="M1695" i="5"/>
  <c r="M1696" i="5" s="1"/>
  <c r="M634" i="5" l="1"/>
  <c r="M1720" i="5"/>
  <c r="M606" i="5"/>
  <c r="M607" i="5" s="1"/>
  <c r="M601" i="5"/>
  <c r="M600" i="5"/>
  <c r="M599" i="5"/>
  <c r="M598" i="5"/>
  <c r="M602" i="5" s="1"/>
  <c r="M592" i="5"/>
  <c r="M590" i="5"/>
  <c r="M589" i="5"/>
  <c r="M1682" i="5"/>
  <c r="M1687" i="5" s="1"/>
  <c r="M603" i="5" l="1"/>
  <c r="M610" i="5"/>
  <c r="M611" i="5"/>
  <c r="M612" i="5" s="1"/>
  <c r="M608" i="5"/>
  <c r="M1686" i="5"/>
  <c r="M1683" i="5"/>
  <c r="M899" i="5" l="1"/>
  <c r="M900" i="5" s="1"/>
  <c r="M902" i="5"/>
  <c r="M903" i="5"/>
  <c r="M889" i="5"/>
  <c r="M890" i="5" s="1"/>
  <c r="M882" i="5"/>
  <c r="M883" i="5" s="1"/>
  <c r="M866" i="5"/>
  <c r="M867" i="5"/>
  <c r="M868" i="5"/>
  <c r="M869" i="5"/>
  <c r="M870" i="5"/>
  <c r="M871" i="5"/>
  <c r="M858" i="5"/>
  <c r="M859" i="5" s="1"/>
  <c r="M861" i="5"/>
  <c r="M862" i="5"/>
  <c r="M846" i="5"/>
  <c r="M847" i="5" s="1"/>
  <c r="M839" i="5"/>
  <c r="M840" i="5" s="1"/>
  <c r="M776" i="5"/>
  <c r="M780" i="5" s="1"/>
  <c r="M771" i="5"/>
  <c r="M779" i="5" s="1"/>
  <c r="M781" i="5" s="1"/>
  <c r="M747" i="5"/>
  <c r="M731" i="5"/>
  <c r="M732" i="5" s="1"/>
  <c r="M736" i="5"/>
  <c r="M740" i="5"/>
  <c r="M826" i="5"/>
  <c r="M825" i="5"/>
  <c r="M824" i="5"/>
  <c r="M823" i="5"/>
  <c r="M822" i="5"/>
  <c r="M821" i="5"/>
  <c r="M820" i="5"/>
  <c r="M819" i="5"/>
  <c r="M1203" i="5"/>
  <c r="M1195" i="5"/>
  <c r="M1196" i="5" s="1"/>
  <c r="M1181" i="5"/>
  <c r="M1182" i="5" s="1"/>
  <c r="M1178" i="5"/>
  <c r="M1171" i="5"/>
  <c r="M1170" i="5"/>
  <c r="M1142" i="5"/>
  <c r="M1153" i="5"/>
  <c r="M1154" i="5" s="1"/>
  <c r="M1128" i="5"/>
  <c r="M1207" i="5" l="1"/>
  <c r="M1185" i="5"/>
  <c r="M1186" i="5" s="1"/>
  <c r="M1187" i="5" s="1"/>
  <c r="M1208" i="5"/>
  <c r="M1209" i="5" s="1"/>
  <c r="M906" i="5"/>
  <c r="M905" i="5"/>
  <c r="M907" i="5"/>
  <c r="M872" i="5"/>
  <c r="M873" i="5" s="1"/>
  <c r="M827" i="5"/>
  <c r="M828" i="5" s="1"/>
  <c r="M777" i="5"/>
  <c r="M739" i="5"/>
  <c r="M741" i="5" s="1"/>
  <c r="M1114" i="5"/>
  <c r="M1122" i="5"/>
  <c r="M1145" i="5" s="1"/>
  <c r="M1146" i="5" s="1"/>
  <c r="M1093" i="5"/>
  <c r="M1095" i="5"/>
  <c r="M1096" i="5"/>
  <c r="M1097" i="5"/>
  <c r="M1098" i="5"/>
  <c r="M1099" i="5"/>
  <c r="M1100" i="5"/>
  <c r="M1101" i="5"/>
  <c r="M1102" i="5"/>
  <c r="M1103" i="5"/>
  <c r="M1104" i="5"/>
  <c r="M1105" i="5"/>
  <c r="M1106" i="5"/>
  <c r="M1107" i="5"/>
  <c r="M1108" i="5"/>
  <c r="M1109" i="5"/>
  <c r="M1110" i="5"/>
  <c r="M1111" i="5"/>
  <c r="M1112" i="5"/>
  <c r="M1113" i="5"/>
  <c r="M1115" i="5"/>
  <c r="M1116" i="5"/>
  <c r="M1506" i="5"/>
  <c r="L1499" i="5"/>
  <c r="M1499" i="5"/>
  <c r="M1500" i="5" s="1"/>
  <c r="M1490" i="5"/>
  <c r="M1489" i="5"/>
  <c r="M1491" i="5" s="1"/>
  <c r="M1487" i="5"/>
  <c r="M1481" i="5"/>
  <c r="M1474" i="5"/>
  <c r="M1475" i="5" s="1"/>
  <c r="M1464" i="5"/>
  <c r="M1459" i="5"/>
  <c r="M1452" i="5"/>
  <c r="M1453" i="5" s="1"/>
  <c r="M1507" i="5" l="1"/>
  <c r="M1627" i="5"/>
  <c r="M1482" i="5"/>
  <c r="M1626" i="5"/>
  <c r="M1094" i="5"/>
  <c r="M1460" i="5"/>
  <c r="M1625" i="5"/>
  <c r="M1117" i="5"/>
  <c r="M1118" i="5" s="1"/>
  <c r="M1515" i="5"/>
  <c r="M1318" i="5"/>
  <c r="M1322" i="5"/>
  <c r="M1300" i="5"/>
  <c r="M1310" i="5"/>
  <c r="M719" i="5"/>
  <c r="M723" i="5" s="1"/>
  <c r="M1595" i="5" s="1"/>
  <c r="M714" i="5"/>
  <c r="M722" i="5" s="1"/>
  <c r="M702" i="5"/>
  <c r="M706" i="5" s="1"/>
  <c r="M1594" i="5" s="1"/>
  <c r="M697" i="5"/>
  <c r="M705" i="5" s="1"/>
  <c r="M687" i="5"/>
  <c r="M684" i="5"/>
  <c r="M688" i="5" s="1"/>
  <c r="M1593" i="5" s="1"/>
  <c r="M679" i="5"/>
  <c r="M680" i="5" s="1"/>
  <c r="M1611" i="5"/>
  <c r="M1610" i="5"/>
  <c r="M1608" i="5"/>
  <c r="M1607" i="5"/>
  <c r="M1605" i="5"/>
  <c r="M1602" i="5"/>
  <c r="M1600" i="5"/>
  <c r="M1599" i="5"/>
  <c r="M1598" i="5"/>
  <c r="M1597" i="5"/>
  <c r="M1596" i="5"/>
  <c r="M1583" i="5"/>
  <c r="M1582" i="5"/>
  <c r="M1554" i="5" s="1"/>
  <c r="M1580" i="5"/>
  <c r="M1579" i="5"/>
  <c r="M1551" i="5" s="1"/>
  <c r="M1577" i="5"/>
  <c r="M1574" i="5"/>
  <c r="M1546" i="5" s="1"/>
  <c r="M1572" i="5"/>
  <c r="M1571" i="5"/>
  <c r="M1543" i="5" s="1"/>
  <c r="M1570" i="5"/>
  <c r="M1542" i="5" s="1"/>
  <c r="M1569" i="5"/>
  <c r="M1568" i="5"/>
  <c r="M1565" i="5"/>
  <c r="M1555" i="5"/>
  <c r="M1552" i="5"/>
  <c r="M1544" i="5"/>
  <c r="M1540" i="5"/>
  <c r="M1528" i="5"/>
  <c r="M1532" i="5" s="1"/>
  <c r="M1523" i="5"/>
  <c r="M1531" i="5" s="1"/>
  <c r="M1439" i="5"/>
  <c r="M1443" i="5" s="1"/>
  <c r="M1616" i="5" s="1"/>
  <c r="M1429" i="5"/>
  <c r="M1428" i="5"/>
  <c r="M1442" i="5" s="1"/>
  <c r="M1588" i="5" s="1"/>
  <c r="M1421" i="5"/>
  <c r="M1422" i="5" s="1"/>
  <c r="M1410" i="5"/>
  <c r="M1394" i="5"/>
  <c r="M1395" i="5" s="1"/>
  <c r="M1398" i="5"/>
  <c r="M1615" i="5" s="1"/>
  <c r="M1383" i="5"/>
  <c r="M1384" i="5" s="1"/>
  <c r="M1370" i="5"/>
  <c r="M1376" i="5" s="1"/>
  <c r="M1377" i="5" s="1"/>
  <c r="M1358" i="5"/>
  <c r="M1360" i="5"/>
  <c r="M1361" i="5"/>
  <c r="M1362" i="5"/>
  <c r="M1363" i="5"/>
  <c r="M1364" i="5"/>
  <c r="M1349" i="5"/>
  <c r="M1350" i="5" s="1"/>
  <c r="M1283" i="5"/>
  <c r="M1287" i="5" s="1"/>
  <c r="M1613" i="5" s="1"/>
  <c r="M1278" i="5"/>
  <c r="M1286" i="5" s="1"/>
  <c r="M1331" i="5"/>
  <c r="M1332" i="5" s="1"/>
  <c r="M1304" i="5"/>
  <c r="M1293" i="5"/>
  <c r="M1294" i="5"/>
  <c r="M1295" i="5"/>
  <c r="M1296" i="5"/>
  <c r="M1297" i="5"/>
  <c r="M1298" i="5"/>
  <c r="M1299" i="5"/>
  <c r="M1301" i="5"/>
  <c r="M1302" i="5"/>
  <c r="M1303" i="5"/>
  <c r="M1246" i="5"/>
  <c r="M1247" i="5" s="1"/>
  <c r="M1239" i="5"/>
  <c r="M1240" i="5" s="1"/>
  <c r="M1237" i="5"/>
  <c r="M1222" i="5" s="1"/>
  <c r="M1067" i="5"/>
  <c r="M1071" i="5" s="1"/>
  <c r="M1609" i="5" s="1"/>
  <c r="M1553" i="5" s="1"/>
  <c r="M1062" i="5"/>
  <c r="M1070" i="5" s="1"/>
  <c r="M1581" i="5" s="1"/>
  <c r="M984" i="5"/>
  <c r="M983" i="5"/>
  <c r="M987" i="5" s="1"/>
  <c r="M1606" i="5" s="1"/>
  <c r="M978" i="5"/>
  <c r="M986" i="5" s="1"/>
  <c r="M988" i="5" s="1"/>
  <c r="M940" i="5"/>
  <c r="M1604" i="5" s="1"/>
  <c r="M936" i="5"/>
  <c r="M931" i="5"/>
  <c r="M939" i="5" s="1"/>
  <c r="M923" i="5"/>
  <c r="M1603" i="5" s="1"/>
  <c r="M919" i="5"/>
  <c r="M914" i="5"/>
  <c r="M922" i="5" s="1"/>
  <c r="M924" i="5" s="1"/>
  <c r="M810" i="5"/>
  <c r="M814" i="5" s="1"/>
  <c r="M1601" i="5" s="1"/>
  <c r="M805" i="5"/>
  <c r="M806" i="5" s="1"/>
  <c r="M1261" i="5"/>
  <c r="M1265" i="5" s="1"/>
  <c r="M1266" i="5" s="1"/>
  <c r="M1267" i="5" s="1"/>
  <c r="M1223" i="5"/>
  <c r="M1221" i="5"/>
  <c r="M1220" i="5"/>
  <c r="M1219" i="5"/>
  <c r="M1218" i="5"/>
  <c r="M1217" i="5"/>
  <c r="M1216" i="5"/>
  <c r="M1215" i="5"/>
  <c r="M1214" i="5"/>
  <c r="M1213" i="5"/>
  <c r="M1819" i="5"/>
  <c r="M1820" i="5" s="1"/>
  <c r="M1853" i="5"/>
  <c r="M1852" i="5"/>
  <c r="M1851" i="5"/>
  <c r="M1850" i="5"/>
  <c r="M1845" i="5"/>
  <c r="M1868" i="5"/>
  <c r="M1867" i="5"/>
  <c r="M1865" i="5"/>
  <c r="M637" i="5"/>
  <c r="M588" i="5"/>
  <c r="M593" i="5" s="1"/>
  <c r="M594" i="5" s="1"/>
  <c r="M580" i="5"/>
  <c r="M581" i="5" s="1"/>
  <c r="M575" i="5"/>
  <c r="M576" i="5" s="1"/>
  <c r="M567" i="5"/>
  <c r="M583" i="5" s="1"/>
  <c r="M558" i="5"/>
  <c r="M559" i="5" s="1"/>
  <c r="M553" i="5"/>
  <c r="M554" i="5" s="1"/>
  <c r="M546" i="5"/>
  <c r="M547" i="5" s="1"/>
  <c r="M357" i="5"/>
  <c r="M356" i="5"/>
  <c r="M355" i="5"/>
  <c r="M351" i="5"/>
  <c r="M350" i="5"/>
  <c r="M349" i="5"/>
  <c r="M343" i="5"/>
  <c r="M342" i="5"/>
  <c r="M341" i="5"/>
  <c r="M329" i="5"/>
  <c r="M330" i="5" s="1"/>
  <c r="M322" i="5"/>
  <c r="M321" i="5"/>
  <c r="M320" i="5"/>
  <c r="M319" i="5"/>
  <c r="M318" i="5"/>
  <c r="M317" i="5"/>
  <c r="M316" i="5"/>
  <c r="M315" i="5"/>
  <c r="M314" i="5"/>
  <c r="M313" i="5"/>
  <c r="M312" i="5"/>
  <c r="M311" i="5"/>
  <c r="M310" i="5"/>
  <c r="M309" i="5"/>
  <c r="M308" i="5"/>
  <c r="M307" i="5"/>
  <c r="M306" i="5"/>
  <c r="M323" i="5" s="1"/>
  <c r="M281" i="5"/>
  <c r="M209" i="5"/>
  <c r="M178" i="5"/>
  <c r="N167" i="5"/>
  <c r="O167" i="5" s="1"/>
  <c r="N154" i="5"/>
  <c r="O154" i="5" s="1"/>
  <c r="N81" i="5"/>
  <c r="O81" i="5" s="1"/>
  <c r="M46" i="5"/>
  <c r="M49" i="5" s="1"/>
  <c r="M47" i="5"/>
  <c r="M48" i="5"/>
  <c r="M37" i="5"/>
  <c r="M17" i="5"/>
  <c r="M16" i="5"/>
  <c r="M15" i="5"/>
  <c r="M12" i="5"/>
  <c r="M352" i="5" s="1"/>
  <c r="M1861" i="5" s="1"/>
  <c r="M1560" i="5" l="1"/>
  <c r="M1288" i="5"/>
  <c r="M1585" i="5"/>
  <c r="M1557" i="5"/>
  <c r="M1849" i="5"/>
  <c r="M1860" i="5"/>
  <c r="M568" i="5"/>
  <c r="M584" i="5"/>
  <c r="M585" i="5" s="1"/>
  <c r="M1848" i="5"/>
  <c r="M813" i="5"/>
  <c r="M1573" i="5" s="1"/>
  <c r="M941" i="5"/>
  <c r="M1270" i="5"/>
  <c r="M1612" i="5" s="1"/>
  <c r="M1578" i="5"/>
  <c r="M1550" i="5" s="1"/>
  <c r="M1269" i="5"/>
  <c r="M1575" i="5"/>
  <c r="M1547" i="5" s="1"/>
  <c r="M652" i="5"/>
  <c r="M653" i="5" s="1"/>
  <c r="M641" i="5"/>
  <c r="M642" i="5" s="1"/>
  <c r="M1397" i="5"/>
  <c r="M1576" i="5"/>
  <c r="M1548" i="5" s="1"/>
  <c r="M720" i="5"/>
  <c r="M18" i="5"/>
  <c r="M1353" i="5"/>
  <c r="M1614" i="5" s="1"/>
  <c r="M1516" i="5"/>
  <c r="M1628" i="5"/>
  <c r="M1549" i="5"/>
  <c r="M1541" i="5"/>
  <c r="M1545" i="5"/>
  <c r="M815" i="5"/>
  <c r="M1352" i="5"/>
  <c r="M724" i="5"/>
  <c r="M1567" i="5"/>
  <c r="M1539" i="5" s="1"/>
  <c r="M1566" i="5"/>
  <c r="M1538" i="5" s="1"/>
  <c r="M707" i="5"/>
  <c r="M1617" i="5"/>
  <c r="M1620" i="5" s="1"/>
  <c r="M689" i="5"/>
  <c r="M685" i="5"/>
  <c r="M1537" i="5"/>
  <c r="M1533" i="5"/>
  <c r="M1629" i="5" s="1"/>
  <c r="M1529" i="5"/>
  <c r="M1444" i="5"/>
  <c r="M1359" i="5"/>
  <c r="M1365" i="5" s="1"/>
  <c r="M1366" i="5" s="1"/>
  <c r="M1262" i="5"/>
  <c r="M1324" i="5"/>
  <c r="M1325" i="5" s="1"/>
  <c r="M1292" i="5"/>
  <c r="M1306" i="5" s="1"/>
  <c r="M1307" i="5" s="1"/>
  <c r="M1224" i="5"/>
  <c r="M1225" i="5" s="1"/>
  <c r="M1072" i="5"/>
  <c r="M1068" i="5"/>
  <c r="M811" i="5"/>
  <c r="M1854" i="5"/>
  <c r="M522" i="5"/>
  <c r="M521" i="5"/>
  <c r="M523" i="5" s="1"/>
  <c r="M524" i="5" s="1"/>
  <c r="M1866" i="5" s="1"/>
  <c r="J637" i="5"/>
  <c r="K637" i="5"/>
  <c r="L637" i="5"/>
  <c r="L652" i="5" s="1"/>
  <c r="M1630" i="5" l="1"/>
  <c r="M654" i="5"/>
  <c r="M657" i="5"/>
  <c r="M658" i="5" s="1"/>
  <c r="M1587" i="5"/>
  <c r="M1559" i="5" s="1"/>
  <c r="M1399" i="5"/>
  <c r="M1271" i="5"/>
  <c r="M1584" i="5"/>
  <c r="M1556" i="5" s="1"/>
  <c r="M1354" i="5"/>
  <c r="M1586" i="5"/>
  <c r="M1558" i="5" s="1"/>
  <c r="M1589" i="5"/>
  <c r="M1619" i="5" s="1"/>
  <c r="M1621" i="5" s="1"/>
  <c r="M1305" i="5"/>
  <c r="L1816" i="5"/>
  <c r="L653" i="5"/>
  <c r="L657" i="5" s="1"/>
  <c r="L646" i="5"/>
  <c r="L641" i="5"/>
  <c r="L642" i="5" s="1"/>
  <c r="M1561" i="5" l="1"/>
  <c r="L654" i="5"/>
  <c r="L882" i="5"/>
  <c r="L883" i="5" s="1"/>
  <c r="L1050" i="5"/>
  <c r="L1054" i="5" s="1"/>
  <c r="L1045" i="5"/>
  <c r="L1053" i="5" s="1"/>
  <c r="L1028" i="5"/>
  <c r="L1032" i="5" s="1"/>
  <c r="L1033" i="5" s="1"/>
  <c r="L1037" i="5" s="1"/>
  <c r="L1017" i="5"/>
  <c r="L1036" i="5" s="1"/>
  <c r="L1010" i="5"/>
  <c r="L999" i="5"/>
  <c r="L1667" i="5"/>
  <c r="L1668" i="5" s="1"/>
  <c r="L1515" i="5"/>
  <c r="L1516" i="5" s="1"/>
  <c r="L1853" i="5"/>
  <c r="L1852" i="5"/>
  <c r="L1851" i="5"/>
  <c r="L1850" i="5"/>
  <c r="L1845" i="5"/>
  <c r="L1831" i="5"/>
  <c r="L1819" i="5"/>
  <c r="L1820" i="5" s="1"/>
  <c r="L1774" i="5"/>
  <c r="L1720" i="5"/>
  <c r="L1721" i="5" s="1"/>
  <c r="L1854" i="5" l="1"/>
  <c r="L1055" i="5"/>
  <c r="L1038" i="5"/>
  <c r="L1703" i="5"/>
  <c r="L1704" i="5" s="1"/>
  <c r="L1695" i="5"/>
  <c r="L1696" i="5" s="1"/>
  <c r="L1682" i="5" l="1"/>
  <c r="L1683" i="5" l="1"/>
  <c r="L1686" i="5"/>
  <c r="L1660" i="5"/>
  <c r="L1661" i="5" s="1"/>
  <c r="L1655" i="5"/>
  <c r="L1656" i="5" s="1"/>
  <c r="L1645" i="5"/>
  <c r="L1646" i="5" s="1"/>
  <c r="L1867" i="5" s="1"/>
  <c r="L839" i="5"/>
  <c r="L840" i="5" s="1"/>
  <c r="L1628" i="5" l="1"/>
  <c r="L1608" i="5"/>
  <c r="L1607" i="5"/>
  <c r="L1598" i="5"/>
  <c r="L1580" i="5"/>
  <c r="L1579" i="5"/>
  <c r="L1570" i="5"/>
  <c r="L1528" i="5"/>
  <c r="L1532" i="5" s="1"/>
  <c r="L1523" i="5"/>
  <c r="L1531" i="5" s="1"/>
  <c r="L1506" i="5"/>
  <c r="L1507" i="5" s="1"/>
  <c r="L1500" i="5"/>
  <c r="L1490" i="5"/>
  <c r="L1487" i="5"/>
  <c r="L1481" i="5"/>
  <c r="L1482" i="5" s="1"/>
  <c r="L1474" i="5"/>
  <c r="L1475" i="5" s="1"/>
  <c r="L1464" i="5"/>
  <c r="L1459" i="5"/>
  <c r="L1460" i="5" s="1"/>
  <c r="L1452" i="5"/>
  <c r="L1453" i="5" s="1"/>
  <c r="L1439" i="5"/>
  <c r="L1443" i="5" s="1"/>
  <c r="L1616" i="5" s="1"/>
  <c r="L1428" i="5"/>
  <c r="L1442" i="5" s="1"/>
  <c r="L1588" i="5" s="1"/>
  <c r="L1421" i="5"/>
  <c r="L1410" i="5"/>
  <c r="L1394" i="5"/>
  <c r="L1395" i="5" s="1"/>
  <c r="L1383" i="5"/>
  <c r="L1384" i="5" s="1"/>
  <c r="L1370" i="5"/>
  <c r="L1376" i="5" s="1"/>
  <c r="L1377" i="5" s="1"/>
  <c r="L1358" i="5"/>
  <c r="L1360" i="5"/>
  <c r="L1361" i="5"/>
  <c r="L1362" i="5"/>
  <c r="L1363" i="5"/>
  <c r="L1364" i="5"/>
  <c r="L1302" i="5"/>
  <c r="L1298" i="5"/>
  <c r="L1294" i="5"/>
  <c r="L1349" i="5"/>
  <c r="L1353" i="5" s="1"/>
  <c r="L1614" i="5" s="1"/>
  <c r="L1331" i="5"/>
  <c r="L1332" i="5" s="1"/>
  <c r="L1304" i="5"/>
  <c r="L1303" i="5"/>
  <c r="L1301" i="5"/>
  <c r="L1300" i="5"/>
  <c r="L1299" i="5"/>
  <c r="L1297" i="5"/>
  <c r="L1296" i="5"/>
  <c r="L1295" i="5"/>
  <c r="L1293" i="5"/>
  <c r="L1292" i="5"/>
  <c r="L1283" i="5"/>
  <c r="L1287" i="5" s="1"/>
  <c r="L1613" i="5" s="1"/>
  <c r="L1278" i="5"/>
  <c r="L1286" i="5" s="1"/>
  <c r="L1261" i="5"/>
  <c r="L1246" i="5"/>
  <c r="L1247" i="5" s="1"/>
  <c r="L1239" i="5"/>
  <c r="L1240" i="5" s="1"/>
  <c r="L1223" i="5"/>
  <c r="L1219" i="5"/>
  <c r="L1215" i="5"/>
  <c r="L1222" i="5"/>
  <c r="L1221" i="5"/>
  <c r="L1220" i="5"/>
  <c r="L1218" i="5"/>
  <c r="L1217" i="5"/>
  <c r="L1216" i="5"/>
  <c r="L1214" i="5"/>
  <c r="L1213" i="5"/>
  <c r="L1203" i="5"/>
  <c r="L1195" i="5"/>
  <c r="L1196" i="5" s="1"/>
  <c r="L1171" i="5"/>
  <c r="L1107" i="5" s="1"/>
  <c r="L1170" i="5"/>
  <c r="L1106" i="5" s="1"/>
  <c r="L1178" i="5"/>
  <c r="L1114" i="5" s="1"/>
  <c r="L1153" i="5"/>
  <c r="L1154" i="5" s="1"/>
  <c r="L1145" i="5"/>
  <c r="L1146" i="5" s="1"/>
  <c r="L1113" i="5"/>
  <c r="L1109" i="5"/>
  <c r="L1105" i="5"/>
  <c r="L1097" i="5"/>
  <c r="L1093" i="5"/>
  <c r="L1112" i="5"/>
  <c r="L1108" i="5"/>
  <c r="L1104" i="5"/>
  <c r="L1100" i="5"/>
  <c r="L1096" i="5"/>
  <c r="L1116" i="5"/>
  <c r="L1115" i="5"/>
  <c r="L1111" i="5"/>
  <c r="L1110" i="5"/>
  <c r="L1103" i="5"/>
  <c r="L1102" i="5"/>
  <c r="L1101" i="5"/>
  <c r="L1099" i="5"/>
  <c r="L1098" i="5"/>
  <c r="L1095" i="5"/>
  <c r="L1094" i="5"/>
  <c r="L1084" i="5"/>
  <c r="L1088" i="5" s="1"/>
  <c r="L1610" i="5" s="1"/>
  <c r="L1079" i="5"/>
  <c r="L1087" i="5" s="1"/>
  <c r="L1067" i="5"/>
  <c r="L1071" i="5" s="1"/>
  <c r="L1609" i="5" s="1"/>
  <c r="L1062" i="5"/>
  <c r="L1070" i="5" s="1"/>
  <c r="L1581" i="5" s="1"/>
  <c r="L983" i="5"/>
  <c r="L984" i="5" s="1"/>
  <c r="L978" i="5"/>
  <c r="L986" i="5" s="1"/>
  <c r="L966" i="5"/>
  <c r="L970" i="5" s="1"/>
  <c r="L961" i="5"/>
  <c r="L962" i="5" s="1"/>
  <c r="L954" i="5"/>
  <c r="L955" i="5" s="1"/>
  <c r="L940" i="5"/>
  <c r="L1604" i="5" s="1"/>
  <c r="L936" i="5"/>
  <c r="L931" i="5"/>
  <c r="L939" i="5" s="1"/>
  <c r="L941" i="5" s="1"/>
  <c r="L923" i="5"/>
  <c r="L1603" i="5" s="1"/>
  <c r="L919" i="5"/>
  <c r="L914" i="5"/>
  <c r="L922" i="5" s="1"/>
  <c r="L902" i="5"/>
  <c r="L903" i="5"/>
  <c r="L899" i="5"/>
  <c r="L900" i="5" s="1"/>
  <c r="L889" i="5"/>
  <c r="L890" i="5" s="1"/>
  <c r="L866" i="5"/>
  <c r="L867" i="5"/>
  <c r="L868" i="5"/>
  <c r="L869" i="5"/>
  <c r="L870" i="5"/>
  <c r="L871" i="5"/>
  <c r="L861" i="5"/>
  <c r="L1574" i="5" s="1"/>
  <c r="L862" i="5"/>
  <c r="L1602" i="5" s="1"/>
  <c r="L858" i="5"/>
  <c r="L859" i="5" s="1"/>
  <c r="L846" i="5"/>
  <c r="L847" i="5" s="1"/>
  <c r="L819" i="5"/>
  <c r="L820" i="5"/>
  <c r="L821" i="5"/>
  <c r="L822" i="5"/>
  <c r="L823" i="5"/>
  <c r="L824" i="5"/>
  <c r="L825" i="5"/>
  <c r="L826" i="5"/>
  <c r="L810" i="5"/>
  <c r="L814" i="5" s="1"/>
  <c r="L1601" i="5" s="1"/>
  <c r="L805" i="5"/>
  <c r="L806" i="5" s="1"/>
  <c r="L793" i="5"/>
  <c r="L797" i="5" s="1"/>
  <c r="L1600" i="5" s="1"/>
  <c r="L788" i="5"/>
  <c r="L789" i="5" s="1"/>
  <c r="L776" i="5"/>
  <c r="L780" i="5" s="1"/>
  <c r="L1599" i="5" s="1"/>
  <c r="L771" i="5"/>
  <c r="L779" i="5" s="1"/>
  <c r="L759" i="5"/>
  <c r="L763" i="5" s="1"/>
  <c r="L1597" i="5" s="1"/>
  <c r="K759" i="5"/>
  <c r="L754" i="5"/>
  <c r="L755" i="5" s="1"/>
  <c r="L747" i="5"/>
  <c r="L736" i="5"/>
  <c r="L740" i="5" s="1"/>
  <c r="L1596" i="5" s="1"/>
  <c r="L731" i="5"/>
  <c r="L719" i="5"/>
  <c r="L723" i="5" s="1"/>
  <c r="L1595" i="5" s="1"/>
  <c r="L714" i="5"/>
  <c r="L722" i="5" s="1"/>
  <c r="L1567" i="5" s="1"/>
  <c r="L703" i="5"/>
  <c r="L702" i="5"/>
  <c r="L706" i="5" s="1"/>
  <c r="L1594" i="5" s="1"/>
  <c r="L697" i="5"/>
  <c r="L705" i="5" s="1"/>
  <c r="L684" i="5"/>
  <c r="L685" i="5" s="1"/>
  <c r="L679" i="5"/>
  <c r="L680" i="5" s="1"/>
  <c r="L648" i="5"/>
  <c r="L622" i="5"/>
  <c r="L624" i="5" s="1"/>
  <c r="L625" i="5" s="1"/>
  <c r="K615" i="5"/>
  <c r="L615" i="5"/>
  <c r="L617" i="5" s="1"/>
  <c r="L618" i="5" s="1"/>
  <c r="K606" i="5"/>
  <c r="L606" i="5"/>
  <c r="L607" i="5" s="1"/>
  <c r="J606" i="5"/>
  <c r="L589" i="5"/>
  <c r="L601" i="5"/>
  <c r="L600" i="5"/>
  <c r="L599" i="5"/>
  <c r="L598" i="5"/>
  <c r="L588" i="5"/>
  <c r="L580" i="5"/>
  <c r="L584" i="5" s="1"/>
  <c r="L575" i="5"/>
  <c r="L576" i="5" s="1"/>
  <c r="L567" i="5"/>
  <c r="L568" i="5" s="1"/>
  <c r="L811" i="5" l="1"/>
  <c r="L1546" i="5"/>
  <c r="L1542" i="5"/>
  <c r="L707" i="5"/>
  <c r="L1089" i="5"/>
  <c r="L1533" i="5"/>
  <c r="L1629" i="5" s="1"/>
  <c r="L602" i="5"/>
  <c r="L687" i="5"/>
  <c r="L1565" i="5" s="1"/>
  <c r="L762" i="5"/>
  <c r="L1569" i="5" s="1"/>
  <c r="L1207" i="5"/>
  <c r="L1583" i="5" s="1"/>
  <c r="L1269" i="5"/>
  <c r="L1584" i="5" s="1"/>
  <c r="L1397" i="5"/>
  <c r="L1587" i="5" s="1"/>
  <c r="L581" i="5"/>
  <c r="L905" i="5"/>
  <c r="L987" i="5"/>
  <c r="L1606" i="5" s="1"/>
  <c r="L1529" i="5"/>
  <c r="L1552" i="5"/>
  <c r="L603" i="5"/>
  <c r="L610" i="5"/>
  <c r="L924" i="5"/>
  <c r="L1575" i="5"/>
  <c r="L1547" i="5" s="1"/>
  <c r="L1553" i="5"/>
  <c r="L1539" i="5"/>
  <c r="L1541" i="5"/>
  <c r="L1560" i="5"/>
  <c r="L628" i="5"/>
  <c r="L629" i="5" s="1"/>
  <c r="L688" i="5"/>
  <c r="L1593" i="5" s="1"/>
  <c r="L777" i="5"/>
  <c r="L796" i="5"/>
  <c r="L1572" i="5" s="1"/>
  <c r="L1544" i="5" s="1"/>
  <c r="L813" i="5"/>
  <c r="L1573" i="5" s="1"/>
  <c r="L1545" i="5" s="1"/>
  <c r="L1068" i="5"/>
  <c r="L1181" i="5"/>
  <c r="L1185" i="5" s="1"/>
  <c r="L1186" i="5" s="1"/>
  <c r="L1187" i="5" s="1"/>
  <c r="L1288" i="5"/>
  <c r="L1576" i="5"/>
  <c r="L1548" i="5" s="1"/>
  <c r="L1626" i="5"/>
  <c r="L906" i="5"/>
  <c r="L1585" i="5"/>
  <c r="L1557" i="5" s="1"/>
  <c r="L1605" i="5"/>
  <c r="L1627" i="5"/>
  <c r="L593" i="5"/>
  <c r="L594" i="5" s="1"/>
  <c r="L632" i="5"/>
  <c r="L583" i="5"/>
  <c r="L585" i="5" s="1"/>
  <c r="L781" i="5"/>
  <c r="L969" i="5"/>
  <c r="L1577" i="5" s="1"/>
  <c r="L1072" i="5"/>
  <c r="L1566" i="5"/>
  <c r="L1538" i="5" s="1"/>
  <c r="L1578" i="5"/>
  <c r="L1550" i="5" s="1"/>
  <c r="L1582" i="5"/>
  <c r="L1554" i="5" s="1"/>
  <c r="L649" i="5"/>
  <c r="L656" i="5"/>
  <c r="L658" i="5" s="1"/>
  <c r="L1262" i="5"/>
  <c r="L1265" i="5"/>
  <c r="L1266" i="5" s="1"/>
  <c r="L1571" i="5"/>
  <c r="L1543" i="5" s="1"/>
  <c r="L1625" i="5"/>
  <c r="L1551" i="5"/>
  <c r="L1489" i="5"/>
  <c r="L1491" i="5" s="1"/>
  <c r="L1398" i="5"/>
  <c r="L1444" i="5"/>
  <c r="L1359" i="5"/>
  <c r="L1365" i="5" s="1"/>
  <c r="L1366" i="5" s="1"/>
  <c r="L1352" i="5"/>
  <c r="L1586" i="5" s="1"/>
  <c r="L1558" i="5" s="1"/>
  <c r="L1306" i="5"/>
  <c r="L1307" i="5" s="1"/>
  <c r="L1324" i="5"/>
  <c r="L1325" i="5" s="1"/>
  <c r="L1350" i="5"/>
  <c r="L1224" i="5"/>
  <c r="L1225" i="5" s="1"/>
  <c r="L1117" i="5"/>
  <c r="L1118" i="5" s="1"/>
  <c r="L967" i="5"/>
  <c r="L872" i="5"/>
  <c r="L873" i="5" s="1"/>
  <c r="L827" i="5"/>
  <c r="L828" i="5" s="1"/>
  <c r="L815" i="5"/>
  <c r="L760" i="5"/>
  <c r="L764" i="5"/>
  <c r="L739" i="5"/>
  <c r="L737" i="5"/>
  <c r="L720" i="5"/>
  <c r="L724" i="5"/>
  <c r="L611" i="5"/>
  <c r="L612" i="5" s="1"/>
  <c r="L608" i="5"/>
  <c r="L558" i="5"/>
  <c r="L559" i="5" s="1"/>
  <c r="L553" i="5"/>
  <c r="L554" i="5" s="1"/>
  <c r="L546" i="5"/>
  <c r="L547" i="5" s="1"/>
  <c r="N540" i="5"/>
  <c r="O540" i="5" s="1"/>
  <c r="L907" i="5" l="1"/>
  <c r="L1354" i="5"/>
  <c r="L1630" i="5"/>
  <c r="L1549" i="5"/>
  <c r="L988" i="5"/>
  <c r="L798" i="5"/>
  <c r="L1399" i="5"/>
  <c r="L1615" i="5"/>
  <c r="L1559" i="5" s="1"/>
  <c r="L689" i="5"/>
  <c r="L630" i="5"/>
  <c r="L633" i="5"/>
  <c r="L634" i="5" s="1"/>
  <c r="L741" i="5"/>
  <c r="L1568" i="5"/>
  <c r="L1540" i="5" s="1"/>
  <c r="L1267" i="5"/>
  <c r="L1270" i="5"/>
  <c r="L971" i="5"/>
  <c r="L1537" i="5"/>
  <c r="L1589" i="5"/>
  <c r="L1619" i="5" s="1"/>
  <c r="L1182" i="5"/>
  <c r="L1208" i="5"/>
  <c r="L1305" i="5"/>
  <c r="L522" i="5"/>
  <c r="L521" i="5"/>
  <c r="L517" i="5"/>
  <c r="L508" i="5"/>
  <c r="L498" i="5"/>
  <c r="L489" i="5"/>
  <c r="L490" i="5" s="1"/>
  <c r="L476" i="5"/>
  <c r="L477" i="5" s="1"/>
  <c r="L470" i="5"/>
  <c r="L459" i="5"/>
  <c r="L461" i="5" s="1"/>
  <c r="L452" i="5"/>
  <c r="L444" i="5"/>
  <c r="L445" i="5" s="1"/>
  <c r="L432" i="5"/>
  <c r="L415" i="5"/>
  <c r="L399" i="5"/>
  <c r="L400" i="5" s="1"/>
  <c r="L384" i="5"/>
  <c r="L373" i="5"/>
  <c r="L375" i="5" s="1"/>
  <c r="L357" i="5"/>
  <c r="L356" i="5"/>
  <c r="L355" i="5"/>
  <c r="L322" i="5"/>
  <c r="L321" i="5"/>
  <c r="L320" i="5"/>
  <c r="L319" i="5"/>
  <c r="L318" i="5"/>
  <c r="L317" i="5"/>
  <c r="L316" i="5"/>
  <c r="L315" i="5"/>
  <c r="L314" i="5"/>
  <c r="L313" i="5"/>
  <c r="L311" i="5"/>
  <c r="L310" i="5"/>
  <c r="L309" i="5"/>
  <c r="L308" i="5"/>
  <c r="L307" i="5"/>
  <c r="L306" i="5"/>
  <c r="L198" i="5"/>
  <c r="L312" i="5" s="1"/>
  <c r="N163" i="5"/>
  <c r="O163" i="5" s="1"/>
  <c r="N152" i="5"/>
  <c r="O152" i="5" s="1"/>
  <c r="N134" i="5"/>
  <c r="O134" i="5" s="1"/>
  <c r="N133" i="5"/>
  <c r="O133" i="5" s="1"/>
  <c r="N87" i="5"/>
  <c r="O87" i="5" s="1"/>
  <c r="L178" i="5"/>
  <c r="L58" i="5"/>
  <c r="L27" i="5"/>
  <c r="L17" i="5"/>
  <c r="L16" i="5"/>
  <c r="L15" i="5"/>
  <c r="L333" i="5" s="1"/>
  <c r="L12" i="5"/>
  <c r="L1848" i="5" s="1"/>
  <c r="L523" i="5" l="1"/>
  <c r="L524" i="5" s="1"/>
  <c r="L1866" i="5" s="1"/>
  <c r="L1271" i="5"/>
  <c r="L1612" i="5"/>
  <c r="L1556" i="5" s="1"/>
  <c r="L323" i="5"/>
  <c r="L1209" i="5"/>
  <c r="L1611" i="5"/>
  <c r="L463" i="5"/>
  <c r="L465" i="5" s="1"/>
  <c r="L379" i="5"/>
  <c r="L1865" i="5"/>
  <c r="L377" i="5"/>
  <c r="L18" i="5"/>
  <c r="K940" i="5"/>
  <c r="K936" i="5"/>
  <c r="K937" i="5" s="1"/>
  <c r="K931" i="5"/>
  <c r="K939" i="5" s="1"/>
  <c r="L1555" i="5" l="1"/>
  <c r="L1561" i="5" s="1"/>
  <c r="L1617" i="5"/>
  <c r="L1620" i="5" s="1"/>
  <c r="L1621" i="5" s="1"/>
  <c r="K941" i="5"/>
  <c r="K1845" i="5"/>
  <c r="K1850" i="5"/>
  <c r="K1831" i="5"/>
  <c r="K1819" i="5"/>
  <c r="K1816" i="5"/>
  <c r="K1853" i="5" s="1"/>
  <c r="K1852" i="5" l="1"/>
  <c r="K1820" i="5"/>
  <c r="K1851" i="5"/>
  <c r="K1854" i="5"/>
  <c r="K653" i="5" l="1"/>
  <c r="K654" i="5" s="1"/>
  <c r="K646" i="5"/>
  <c r="K648" i="5" s="1"/>
  <c r="K641" i="5"/>
  <c r="K642" i="5" s="1"/>
  <c r="K656" i="5" l="1"/>
  <c r="K649" i="5"/>
  <c r="K657" i="5"/>
  <c r="K1439" i="5"/>
  <c r="K658" i="5" l="1"/>
  <c r="K607" i="5"/>
  <c r="K601" i="5"/>
  <c r="K600" i="5"/>
  <c r="K599" i="5"/>
  <c r="K598" i="5"/>
  <c r="K592" i="5"/>
  <c r="K591" i="5"/>
  <c r="K590" i="5"/>
  <c r="K589" i="5"/>
  <c r="K588" i="5"/>
  <c r="K1682" i="5"/>
  <c r="K1683" i="5" s="1"/>
  <c r="K602" i="5" l="1"/>
  <c r="K610" i="5" s="1"/>
  <c r="K608" i="5"/>
  <c r="K611" i="5"/>
  <c r="K593" i="5"/>
  <c r="K594" i="5" s="1"/>
  <c r="K1686" i="5"/>
  <c r="J1703" i="5"/>
  <c r="K603" i="5" l="1"/>
  <c r="K612" i="5"/>
  <c r="K1570" i="5"/>
  <c r="K1576" i="5"/>
  <c r="K1598" i="5"/>
  <c r="K1604" i="5"/>
  <c r="K1349" i="5"/>
  <c r="K1353" i="5" s="1"/>
  <c r="K1614" i="5" s="1"/>
  <c r="K1283" i="5"/>
  <c r="K1287" i="5" s="1"/>
  <c r="K1613" i="5" s="1"/>
  <c r="K1278" i="5"/>
  <c r="K1286" i="5" s="1"/>
  <c r="K1261" i="5"/>
  <c r="K1262" i="5" s="1"/>
  <c r="K1084" i="5"/>
  <c r="K1088" i="5" s="1"/>
  <c r="K1610" i="5" s="1"/>
  <c r="K1079" i="5"/>
  <c r="K1087" i="5" s="1"/>
  <c r="K1582" i="5" s="1"/>
  <c r="K1050" i="5"/>
  <c r="K1045" i="5"/>
  <c r="K1053" i="5" s="1"/>
  <c r="K1580" i="5" s="1"/>
  <c r="K1028" i="5"/>
  <c r="K1032" i="5" s="1"/>
  <c r="K1033" i="5" s="1"/>
  <c r="K1017" i="5"/>
  <c r="K1036" i="5" s="1"/>
  <c r="K1579" i="5" s="1"/>
  <c r="K1010" i="5"/>
  <c r="K999" i="5"/>
  <c r="K966" i="5"/>
  <c r="K970" i="5" s="1"/>
  <c r="K1605" i="5" s="1"/>
  <c r="K961" i="5"/>
  <c r="K962" i="5" s="1"/>
  <c r="K954" i="5"/>
  <c r="K955" i="5" s="1"/>
  <c r="K923" i="5"/>
  <c r="K1603" i="5" s="1"/>
  <c r="K919" i="5"/>
  <c r="K914" i="5"/>
  <c r="K922" i="5" s="1"/>
  <c r="K776" i="5"/>
  <c r="K777" i="5" s="1"/>
  <c r="K771" i="5"/>
  <c r="K779" i="5" s="1"/>
  <c r="K628" i="5"/>
  <c r="K629" i="5" s="1"/>
  <c r="K630" i="5" s="1"/>
  <c r="K622" i="5"/>
  <c r="K624" i="5" s="1"/>
  <c r="K580" i="5"/>
  <c r="K581" i="5" s="1"/>
  <c r="K575" i="5"/>
  <c r="K576" i="5" s="1"/>
  <c r="K567" i="5"/>
  <c r="K568" i="5" s="1"/>
  <c r="K1667" i="5"/>
  <c r="K1668" i="5" s="1"/>
  <c r="K1703" i="5"/>
  <c r="K1704" i="5" s="1"/>
  <c r="K1695" i="5"/>
  <c r="K1696" i="5" s="1"/>
  <c r="K1655" i="5"/>
  <c r="K1656" i="5" s="1"/>
  <c r="K1645" i="5"/>
  <c r="K1646" i="5" s="1"/>
  <c r="K1867" i="5" s="1"/>
  <c r="K1515" i="5"/>
  <c r="K1516" i="5" s="1"/>
  <c r="K1490" i="5"/>
  <c r="K1487" i="5"/>
  <c r="J1487" i="5"/>
  <c r="K1481" i="5"/>
  <c r="K1482" i="5" s="1"/>
  <c r="K1474" i="5"/>
  <c r="K1475" i="5" s="1"/>
  <c r="K1464" i="5"/>
  <c r="K1459" i="5"/>
  <c r="K1625" i="5" s="1"/>
  <c r="K1452" i="5"/>
  <c r="K1453" i="5" s="1"/>
  <c r="K1548" i="5" l="1"/>
  <c r="K969" i="5"/>
  <c r="K1577" i="5" s="1"/>
  <c r="K1549" i="5" s="1"/>
  <c r="K967" i="5"/>
  <c r="K1575" i="5"/>
  <c r="K1547" i="5" s="1"/>
  <c r="K924" i="5"/>
  <c r="K583" i="5"/>
  <c r="K1265" i="5"/>
  <c r="K1266" i="5" s="1"/>
  <c r="K1267" i="5" s="1"/>
  <c r="K632" i="5"/>
  <c r="K625" i="5"/>
  <c r="K1571" i="5"/>
  <c r="K1626" i="5"/>
  <c r="K633" i="5"/>
  <c r="K1288" i="5"/>
  <c r="K1628" i="5"/>
  <c r="K1460" i="5"/>
  <c r="K584" i="5"/>
  <c r="K780" i="5"/>
  <c r="K1599" i="5" s="1"/>
  <c r="K1037" i="5"/>
  <c r="K1607" i="5" s="1"/>
  <c r="K1551" i="5" s="1"/>
  <c r="K1054" i="5"/>
  <c r="K1608" i="5" s="1"/>
  <c r="K1552" i="5" s="1"/>
  <c r="K1350" i="5"/>
  <c r="K1089" i="5"/>
  <c r="K1489" i="5"/>
  <c r="K1491" i="5" s="1"/>
  <c r="K1585" i="5"/>
  <c r="K1557" i="5" s="1"/>
  <c r="K1554" i="5"/>
  <c r="K1542" i="5"/>
  <c r="K1394" i="5"/>
  <c r="K1395" i="5" s="1"/>
  <c r="K1370" i="5"/>
  <c r="K1359" i="5" s="1"/>
  <c r="K1383" i="5"/>
  <c r="K1397" i="5" s="1"/>
  <c r="K1358" i="5"/>
  <c r="K1360" i="5"/>
  <c r="K1361" i="5"/>
  <c r="K1362" i="5"/>
  <c r="K1363" i="5"/>
  <c r="K1364" i="5"/>
  <c r="K1322" i="5"/>
  <c r="K1304" i="5" s="1"/>
  <c r="K1318" i="5"/>
  <c r="K1300" i="5" s="1"/>
  <c r="K1310" i="5"/>
  <c r="K1292" i="5" s="1"/>
  <c r="K1331" i="5"/>
  <c r="K1352" i="5" s="1"/>
  <c r="K1293" i="5"/>
  <c r="K1294" i="5"/>
  <c r="K1295" i="5"/>
  <c r="K1296" i="5"/>
  <c r="K1297" i="5"/>
  <c r="K1298" i="5"/>
  <c r="K1299" i="5"/>
  <c r="K1301" i="5"/>
  <c r="K1302" i="5"/>
  <c r="K1303" i="5"/>
  <c r="K1237" i="5"/>
  <c r="K1239" i="5" s="1"/>
  <c r="K1240" i="5" s="1"/>
  <c r="K1246" i="5"/>
  <c r="K1247" i="5" s="1"/>
  <c r="K1213" i="5"/>
  <c r="K1214" i="5"/>
  <c r="K1215" i="5"/>
  <c r="K1216" i="5"/>
  <c r="K1217" i="5"/>
  <c r="K1218" i="5"/>
  <c r="K1219" i="5"/>
  <c r="K1220" i="5"/>
  <c r="K1221" i="5"/>
  <c r="K1223" i="5"/>
  <c r="K719" i="5"/>
  <c r="K720" i="5" s="1"/>
  <c r="K714" i="5"/>
  <c r="K617" i="5"/>
  <c r="K618" i="5" s="1"/>
  <c r="K514" i="5"/>
  <c r="K517" i="5" s="1"/>
  <c r="K503" i="5"/>
  <c r="K508" i="5" s="1"/>
  <c r="K1038" i="5" l="1"/>
  <c r="K971" i="5"/>
  <c r="K1055" i="5"/>
  <c r="K585" i="5"/>
  <c r="K1324" i="5"/>
  <c r="K1305" i="5" s="1"/>
  <c r="K1270" i="5"/>
  <c r="K1612" i="5" s="1"/>
  <c r="K1332" i="5"/>
  <c r="K1384" i="5"/>
  <c r="K634" i="5"/>
  <c r="K1587" i="5"/>
  <c r="K1354" i="5"/>
  <c r="K1586" i="5"/>
  <c r="K1558" i="5" s="1"/>
  <c r="K1376" i="5"/>
  <c r="K1377" i="5" s="1"/>
  <c r="K1398" i="5"/>
  <c r="K1615" i="5" s="1"/>
  <c r="K1543" i="5"/>
  <c r="K1269" i="5"/>
  <c r="K781" i="5"/>
  <c r="K1365" i="5"/>
  <c r="K1366" i="5" s="1"/>
  <c r="K1306" i="5"/>
  <c r="K1307" i="5" s="1"/>
  <c r="K1222" i="5"/>
  <c r="K1224" i="5" s="1"/>
  <c r="K1225" i="5" s="1"/>
  <c r="K1773" i="5"/>
  <c r="K1774" i="5" s="1"/>
  <c r="K1720" i="5"/>
  <c r="K1721" i="5" s="1"/>
  <c r="K1660" i="5"/>
  <c r="K1661" i="5" s="1"/>
  <c r="K1528" i="5"/>
  <c r="K1529" i="5" s="1"/>
  <c r="K1523" i="5"/>
  <c r="K1531" i="5" s="1"/>
  <c r="K1499" i="5"/>
  <c r="K1500" i="5" s="1"/>
  <c r="K1443" i="5"/>
  <c r="K1616" i="5" s="1"/>
  <c r="K1403" i="5"/>
  <c r="K1404" i="5"/>
  <c r="K1405" i="5"/>
  <c r="K1406" i="5"/>
  <c r="K1407" i="5"/>
  <c r="K1408" i="5"/>
  <c r="K1409" i="5"/>
  <c r="K1428" i="5"/>
  <c r="K1429" i="5" s="1"/>
  <c r="K1421" i="5"/>
  <c r="K1422" i="5" s="1"/>
  <c r="K1203" i="5"/>
  <c r="K1204" i="5" s="1"/>
  <c r="K1195" i="5"/>
  <c r="K1180" i="5"/>
  <c r="K1116" i="5" s="1"/>
  <c r="K1173" i="5"/>
  <c r="K1109" i="5" s="1"/>
  <c r="K1171" i="5"/>
  <c r="K1107" i="5" s="1"/>
  <c r="K1178" i="5"/>
  <c r="K1163" i="5"/>
  <c r="K1099" i="5" s="1"/>
  <c r="K1142" i="5"/>
  <c r="K1122" i="5"/>
  <c r="K1094" i="5" s="1"/>
  <c r="K1153" i="5"/>
  <c r="K1154" i="5" s="1"/>
  <c r="K1093" i="5"/>
  <c r="K1095" i="5"/>
  <c r="K1096" i="5"/>
  <c r="K1097" i="5"/>
  <c r="K1098" i="5"/>
  <c r="K1100" i="5"/>
  <c r="K1101" i="5"/>
  <c r="K1102" i="5"/>
  <c r="K1103" i="5"/>
  <c r="K1104" i="5"/>
  <c r="K1105" i="5"/>
  <c r="K1106" i="5"/>
  <c r="K1108" i="5"/>
  <c r="K1110" i="5"/>
  <c r="K1111" i="5"/>
  <c r="K1112" i="5"/>
  <c r="K1113" i="5"/>
  <c r="K1115" i="5"/>
  <c r="K1067" i="5"/>
  <c r="K1068" i="5" s="1"/>
  <c r="K1062" i="5"/>
  <c r="K1070" i="5" s="1"/>
  <c r="K983" i="5"/>
  <c r="K987" i="5" s="1"/>
  <c r="K1606" i="5" s="1"/>
  <c r="K978" i="5"/>
  <c r="K986" i="5" s="1"/>
  <c r="K867" i="5"/>
  <c r="K902" i="5"/>
  <c r="K903" i="5"/>
  <c r="K899" i="5"/>
  <c r="K900" i="5" s="1"/>
  <c r="K889" i="5"/>
  <c r="K890" i="5" s="1"/>
  <c r="K882" i="5"/>
  <c r="K883" i="5" s="1"/>
  <c r="K866" i="5"/>
  <c r="K819" i="5"/>
  <c r="K820" i="5"/>
  <c r="K821" i="5"/>
  <c r="K822" i="5"/>
  <c r="K823" i="5"/>
  <c r="K824" i="5"/>
  <c r="K825" i="5"/>
  <c r="K861" i="5"/>
  <c r="K1574" i="5" s="1"/>
  <c r="K862" i="5"/>
  <c r="K1602" i="5" s="1"/>
  <c r="K868" i="5"/>
  <c r="K869" i="5"/>
  <c r="K870" i="5"/>
  <c r="K871" i="5"/>
  <c r="K858" i="5"/>
  <c r="K859" i="5" s="1"/>
  <c r="K846" i="5"/>
  <c r="K847" i="5" s="1"/>
  <c r="K838" i="5"/>
  <c r="K839" i="5" s="1"/>
  <c r="K840" i="5" s="1"/>
  <c r="K810" i="5"/>
  <c r="K805" i="5"/>
  <c r="K806" i="5" s="1"/>
  <c r="K793" i="5"/>
  <c r="K797" i="5" s="1"/>
  <c r="K1600" i="5" s="1"/>
  <c r="K788" i="5"/>
  <c r="K796" i="5" s="1"/>
  <c r="K760" i="5"/>
  <c r="K754" i="5"/>
  <c r="K762" i="5" s="1"/>
  <c r="K747" i="5"/>
  <c r="K736" i="5"/>
  <c r="K740" i="5" s="1"/>
  <c r="K1596" i="5" s="1"/>
  <c r="K731" i="5"/>
  <c r="K739" i="5" s="1"/>
  <c r="K722" i="5"/>
  <c r="K723" i="5"/>
  <c r="K1595" i="5" s="1"/>
  <c r="K702" i="5"/>
  <c r="K703" i="5" s="1"/>
  <c r="K697" i="5"/>
  <c r="K705" i="5" s="1"/>
  <c r="K814" i="5" l="1"/>
  <c r="K1601" i="5" s="1"/>
  <c r="K706" i="5"/>
  <c r="K1594" i="5" s="1"/>
  <c r="K763" i="5"/>
  <c r="K1597" i="5" s="1"/>
  <c r="K811" i="5"/>
  <c r="K1205" i="5"/>
  <c r="K1325" i="5"/>
  <c r="K984" i="5"/>
  <c r="K906" i="5"/>
  <c r="K1546" i="5"/>
  <c r="K1442" i="5"/>
  <c r="K1444" i="5" s="1"/>
  <c r="K1071" i="5"/>
  <c r="K1609" i="5" s="1"/>
  <c r="K1410" i="5"/>
  <c r="K1411" i="5" s="1"/>
  <c r="K1207" i="5"/>
  <c r="K1583" i="5" s="1"/>
  <c r="K741" i="5"/>
  <c r="K1568" i="5"/>
  <c r="K1540" i="5" s="1"/>
  <c r="K988" i="5"/>
  <c r="K1578" i="5"/>
  <c r="K1550" i="5" s="1"/>
  <c r="K798" i="5"/>
  <c r="K1572" i="5"/>
  <c r="K1544" i="5" s="1"/>
  <c r="K1566" i="5"/>
  <c r="K1569" i="5"/>
  <c r="K905" i="5"/>
  <c r="K1559" i="5"/>
  <c r="K755" i="5"/>
  <c r="K794" i="5"/>
  <c r="K813" i="5"/>
  <c r="K1145" i="5"/>
  <c r="K1399" i="5"/>
  <c r="K732" i="5"/>
  <c r="K826" i="5"/>
  <c r="K827" i="5" s="1"/>
  <c r="K828" i="5" s="1"/>
  <c r="K1506" i="5"/>
  <c r="K1532" i="5"/>
  <c r="K1533" i="5" s="1"/>
  <c r="K1629" i="5" s="1"/>
  <c r="K1584" i="5"/>
  <c r="K1556" i="5" s="1"/>
  <c r="K1271" i="5"/>
  <c r="K737" i="5"/>
  <c r="K789" i="5"/>
  <c r="K1181" i="5"/>
  <c r="K1196" i="5"/>
  <c r="K724" i="5"/>
  <c r="K1567" i="5"/>
  <c r="K1539" i="5" s="1"/>
  <c r="K1581" i="5"/>
  <c r="K1114" i="5"/>
  <c r="K1117" i="5" s="1"/>
  <c r="K1118" i="5" s="1"/>
  <c r="K872" i="5"/>
  <c r="K873" i="5" s="1"/>
  <c r="K684" i="5"/>
  <c r="K688" i="5" s="1"/>
  <c r="K1593" i="5" s="1"/>
  <c r="K679" i="5"/>
  <c r="K687" i="5" s="1"/>
  <c r="K558" i="5"/>
  <c r="K522" i="5" s="1"/>
  <c r="K553" i="5"/>
  <c r="K554" i="5" s="1"/>
  <c r="K546" i="5"/>
  <c r="K498" i="5"/>
  <c r="K489" i="5"/>
  <c r="K490" i="5" s="1"/>
  <c r="K476" i="5"/>
  <c r="K477" i="5" s="1"/>
  <c r="K470" i="5"/>
  <c r="K459" i="5"/>
  <c r="K452" i="5"/>
  <c r="K444" i="5"/>
  <c r="K445" i="5" s="1"/>
  <c r="K432" i="5"/>
  <c r="K415" i="5"/>
  <c r="K398" i="5"/>
  <c r="K399" i="5" s="1"/>
  <c r="K400" i="5" s="1"/>
  <c r="K384" i="5"/>
  <c r="K373" i="5"/>
  <c r="K461" i="5" l="1"/>
  <c r="K463" i="5"/>
  <c r="K465" i="5" s="1"/>
  <c r="K375" i="5"/>
  <c r="K379" i="5" s="1"/>
  <c r="K377" i="5"/>
  <c r="K1588" i="5"/>
  <c r="K1560" i="5" s="1"/>
  <c r="K1541" i="5"/>
  <c r="K521" i="5"/>
  <c r="K1553" i="5"/>
  <c r="K764" i="5"/>
  <c r="K1072" i="5"/>
  <c r="K907" i="5"/>
  <c r="K707" i="5"/>
  <c r="K689" i="5"/>
  <c r="K1565" i="5"/>
  <c r="K1537" i="5" s="1"/>
  <c r="K1182" i="5"/>
  <c r="K1185" i="5"/>
  <c r="K1186" i="5" s="1"/>
  <c r="K1187" i="5" s="1"/>
  <c r="K1208" i="5"/>
  <c r="K815" i="5"/>
  <c r="K1573" i="5"/>
  <c r="K1545" i="5" s="1"/>
  <c r="K559" i="5"/>
  <c r="K685" i="5"/>
  <c r="K1507" i="5"/>
  <c r="K1627" i="5"/>
  <c r="K1630" i="5" s="1"/>
  <c r="K1538" i="5"/>
  <c r="K547" i="5"/>
  <c r="K680" i="5"/>
  <c r="K523" i="5"/>
  <c r="K524" i="5" s="1"/>
  <c r="K1866" i="5" s="1"/>
  <c r="K355" i="5"/>
  <c r="K356" i="5"/>
  <c r="K357" i="5"/>
  <c r="K306" i="5"/>
  <c r="K307" i="5"/>
  <c r="K308" i="5"/>
  <c r="K309" i="5"/>
  <c r="K310" i="5"/>
  <c r="K311" i="5"/>
  <c r="K313" i="5"/>
  <c r="K314" i="5"/>
  <c r="K315" i="5"/>
  <c r="K316" i="5"/>
  <c r="K317" i="5"/>
  <c r="K318" i="5"/>
  <c r="K319" i="5"/>
  <c r="K320" i="5"/>
  <c r="K321" i="5"/>
  <c r="K322" i="5"/>
  <c r="K270" i="5"/>
  <c r="K224" i="5"/>
  <c r="K198" i="5"/>
  <c r="K178" i="5"/>
  <c r="N172" i="5"/>
  <c r="O172" i="5" s="1"/>
  <c r="N155" i="5"/>
  <c r="O155" i="5" s="1"/>
  <c r="N128" i="5"/>
  <c r="O128" i="5" s="1"/>
  <c r="N126" i="5"/>
  <c r="O126" i="5" s="1"/>
  <c r="N118" i="5"/>
  <c r="O118" i="5" s="1"/>
  <c r="K58" i="5"/>
  <c r="K27" i="5"/>
  <c r="K1865" i="5" l="1"/>
  <c r="K312" i="5"/>
  <c r="K1589" i="5"/>
  <c r="K1619" i="5" s="1"/>
  <c r="K1611" i="5"/>
  <c r="K1209" i="5"/>
  <c r="J810" i="5"/>
  <c r="J1481" i="5"/>
  <c r="K1555" i="5" l="1"/>
  <c r="K1561" i="5" s="1"/>
  <c r="K1617" i="5"/>
  <c r="K1620" i="5" s="1"/>
  <c r="K1621" i="5" s="1"/>
  <c r="J415" i="5"/>
  <c r="J235" i="5"/>
  <c r="J1850" i="5" l="1"/>
  <c r="J1845" i="5"/>
  <c r="J1831" i="5"/>
  <c r="J1819" i="5"/>
  <c r="J1854" i="5" s="1"/>
  <c r="J1816" i="5"/>
  <c r="J1851" i="5" s="1"/>
  <c r="J1820" i="5" l="1"/>
  <c r="J1853" i="5"/>
  <c r="J1852" i="5"/>
  <c r="J1084" i="5"/>
  <c r="J1079" i="5"/>
  <c r="J1087" i="5" s="1"/>
  <c r="J1088" i="5" l="1"/>
  <c r="J1089" i="5" s="1"/>
  <c r="J1655" i="5"/>
  <c r="J1656" i="5" s="1"/>
  <c r="J1645" i="5"/>
  <c r="J1646" i="5" s="1"/>
  <c r="J1867" i="5" s="1"/>
  <c r="J622" i="5"/>
  <c r="J624" i="5" s="1"/>
  <c r="J625" i="5" s="1"/>
  <c r="J615" i="5"/>
  <c r="J628" i="5" s="1"/>
  <c r="J629" i="5" s="1"/>
  <c r="J617" i="5" l="1"/>
  <c r="J618" i="5" s="1"/>
  <c r="J630" i="5"/>
  <c r="J633" i="5"/>
  <c r="J632" i="5"/>
  <c r="J776" i="5"/>
  <c r="J777" i="5" s="1"/>
  <c r="J771" i="5"/>
  <c r="J779" i="5" s="1"/>
  <c r="J1283" i="5"/>
  <c r="J1287" i="5" s="1"/>
  <c r="J1278" i="5"/>
  <c r="J1286" i="5" s="1"/>
  <c r="J1322" i="5"/>
  <c r="J1304" i="5" s="1"/>
  <c r="J1318" i="5"/>
  <c r="J1300" i="5" s="1"/>
  <c r="J1316" i="5"/>
  <c r="J1298" i="5" s="1"/>
  <c r="J1310" i="5"/>
  <c r="J1331" i="5"/>
  <c r="J1352" i="5" s="1"/>
  <c r="J1349" i="5"/>
  <c r="J1353" i="5" s="1"/>
  <c r="J1293" i="5"/>
  <c r="J1294" i="5"/>
  <c r="J1295" i="5"/>
  <c r="J1296" i="5"/>
  <c r="J1297" i="5"/>
  <c r="J1299" i="5"/>
  <c r="J1301" i="5"/>
  <c r="J1302" i="5"/>
  <c r="J1303" i="5"/>
  <c r="J1246" i="5"/>
  <c r="J1247" i="5" s="1"/>
  <c r="J1239" i="5"/>
  <c r="J1240" i="5" s="1"/>
  <c r="J1261" i="5"/>
  <c r="J1265" i="5" s="1"/>
  <c r="J1266" i="5" s="1"/>
  <c r="J1267" i="5" s="1"/>
  <c r="J1213" i="5"/>
  <c r="J1214" i="5"/>
  <c r="J1215" i="5"/>
  <c r="J1216" i="5"/>
  <c r="J1217" i="5"/>
  <c r="J1218" i="5"/>
  <c r="J1219" i="5"/>
  <c r="J1220" i="5"/>
  <c r="J1221" i="5"/>
  <c r="J1222" i="5"/>
  <c r="J1223" i="5"/>
  <c r="J940" i="5"/>
  <c r="J936" i="5"/>
  <c r="J937" i="5" s="1"/>
  <c r="J931" i="5"/>
  <c r="J939" i="5" s="1"/>
  <c r="J1667" i="5"/>
  <c r="J1668" i="5" s="1"/>
  <c r="J1660" i="5"/>
  <c r="J1661" i="5" s="1"/>
  <c r="J1203" i="5"/>
  <c r="J1195" i="5"/>
  <c r="J1196" i="5" s="1"/>
  <c r="J638" i="5"/>
  <c r="J641" i="5" s="1"/>
  <c r="J642" i="5" s="1"/>
  <c r="J653" i="5"/>
  <c r="J657" i="5" s="1"/>
  <c r="J646" i="5"/>
  <c r="J648" i="5" s="1"/>
  <c r="J1350" i="5" l="1"/>
  <c r="J654" i="5"/>
  <c r="J1354" i="5"/>
  <c r="J1284" i="5"/>
  <c r="J634" i="5"/>
  <c r="J1262" i="5"/>
  <c r="J1205" i="5"/>
  <c r="J1204" i="5"/>
  <c r="J1332" i="5"/>
  <c r="J649" i="5"/>
  <c r="J656" i="5"/>
  <c r="J658" i="5" s="1"/>
  <c r="J1288" i="5"/>
  <c r="J941" i="5"/>
  <c r="J1270" i="5"/>
  <c r="J780" i="5"/>
  <c r="J781" i="5" s="1"/>
  <c r="J1324" i="5"/>
  <c r="J1325" i="5" s="1"/>
  <c r="J1292" i="5"/>
  <c r="J1306" i="5" s="1"/>
  <c r="J1307" i="5" s="1"/>
  <c r="J1269" i="5"/>
  <c r="J1224" i="5"/>
  <c r="J1225" i="5" s="1"/>
  <c r="J432" i="5"/>
  <c r="J1271" i="5" l="1"/>
  <c r="J1305" i="5"/>
  <c r="J1704" i="5"/>
  <c r="J1695" i="5"/>
  <c r="J1696" i="5" s="1"/>
  <c r="J1490" i="5"/>
  <c r="J966" i="5" l="1"/>
  <c r="J970" i="5" s="1"/>
  <c r="J961" i="5"/>
  <c r="J969" i="5" s="1"/>
  <c r="J954" i="5"/>
  <c r="J955" i="5" s="1"/>
  <c r="J971" i="5" l="1"/>
  <c r="J967" i="5"/>
  <c r="J962" i="5"/>
  <c r="J1682" i="5"/>
  <c r="J1683" i="5" s="1"/>
  <c r="J1686" i="5" l="1"/>
  <c r="J1515" i="5"/>
  <c r="J1516" i="5" s="1"/>
  <c r="J1499" i="5"/>
  <c r="J1500" i="5" s="1"/>
  <c r="J1482" i="5"/>
  <c r="J1474" i="5"/>
  <c r="J1475" i="5" s="1"/>
  <c r="J1464" i="5"/>
  <c r="J1459" i="5"/>
  <c r="J1452" i="5"/>
  <c r="J1453" i="5" s="1"/>
  <c r="J759" i="5"/>
  <c r="J760" i="5" s="1"/>
  <c r="J754" i="5"/>
  <c r="J755" i="5" s="1"/>
  <c r="J601" i="5"/>
  <c r="J600" i="5"/>
  <c r="J599" i="5"/>
  <c r="J598" i="5"/>
  <c r="J607" i="5"/>
  <c r="J608" i="5" s="1"/>
  <c r="J592" i="5"/>
  <c r="J591" i="5"/>
  <c r="J590" i="5"/>
  <c r="J589" i="5"/>
  <c r="J588" i="5"/>
  <c r="J580" i="5"/>
  <c r="J581" i="5" s="1"/>
  <c r="J575" i="5"/>
  <c r="J576" i="5" s="1"/>
  <c r="J567" i="5"/>
  <c r="J583" i="5" s="1"/>
  <c r="J517" i="5"/>
  <c r="J503" i="5"/>
  <c r="J508" i="5" s="1"/>
  <c r="J498" i="5"/>
  <c r="J489" i="5"/>
  <c r="J490" i="5" s="1"/>
  <c r="J476" i="5"/>
  <c r="J477" i="5" s="1"/>
  <c r="J470" i="5"/>
  <c r="J459" i="5"/>
  <c r="J452" i="5"/>
  <c r="J444" i="5"/>
  <c r="J445" i="5" s="1"/>
  <c r="J399" i="5"/>
  <c r="J400" i="5" s="1"/>
  <c r="J384" i="5"/>
  <c r="J373" i="5"/>
  <c r="J377" i="5" s="1"/>
  <c r="J684" i="5"/>
  <c r="J685" i="5" s="1"/>
  <c r="J679" i="5"/>
  <c r="J680" i="5" s="1"/>
  <c r="J805" i="5"/>
  <c r="J806" i="5" s="1"/>
  <c r="J461" i="5" l="1"/>
  <c r="J463" i="5"/>
  <c r="J465" i="5" s="1"/>
  <c r="J1506" i="5"/>
  <c r="J1507" i="5" s="1"/>
  <c r="J762" i="5"/>
  <c r="J375" i="5"/>
  <c r="J1865" i="5" s="1"/>
  <c r="J568" i="5"/>
  <c r="J611" i="5"/>
  <c r="J763" i="5"/>
  <c r="J764" i="5" s="1"/>
  <c r="J1460" i="5"/>
  <c r="J1489" i="5"/>
  <c r="J1491" i="5" s="1"/>
  <c r="J688" i="5"/>
  <c r="J687" i="5"/>
  <c r="J584" i="5"/>
  <c r="J585" i="5" s="1"/>
  <c r="J602" i="5"/>
  <c r="J593" i="5"/>
  <c r="J594" i="5" s="1"/>
  <c r="J914" i="5"/>
  <c r="J978" i="5"/>
  <c r="J1010" i="5"/>
  <c r="J1017" i="5"/>
  <c r="J1036" i="5" s="1"/>
  <c r="J1028" i="5"/>
  <c r="J992" i="5"/>
  <c r="J993" i="5"/>
  <c r="J994" i="5"/>
  <c r="J995" i="5"/>
  <c r="J996" i="5"/>
  <c r="J997" i="5"/>
  <c r="J998" i="5"/>
  <c r="J1045" i="5"/>
  <c r="J1053" i="5" s="1"/>
  <c r="J1050" i="5"/>
  <c r="J1051" i="5" s="1"/>
  <c r="J903" i="5"/>
  <c r="J899" i="5"/>
  <c r="J900" i="5" s="1"/>
  <c r="J889" i="5"/>
  <c r="J890" i="5" s="1"/>
  <c r="J877" i="5"/>
  <c r="J902" i="5" s="1"/>
  <c r="J866" i="5"/>
  <c r="J868" i="5"/>
  <c r="J869" i="5"/>
  <c r="J870" i="5"/>
  <c r="J871" i="5"/>
  <c r="J861" i="5"/>
  <c r="J862" i="5"/>
  <c r="J858" i="5"/>
  <c r="J859" i="5" s="1"/>
  <c r="J846" i="5"/>
  <c r="J847" i="5" s="1"/>
  <c r="J819" i="5"/>
  <c r="J820" i="5"/>
  <c r="J821" i="5"/>
  <c r="J822" i="5"/>
  <c r="J823" i="5"/>
  <c r="J824" i="5"/>
  <c r="J825" i="5"/>
  <c r="J838" i="5"/>
  <c r="J826" i="5" s="1"/>
  <c r="J747" i="5"/>
  <c r="J731" i="5"/>
  <c r="J732" i="5" s="1"/>
  <c r="J736" i="5"/>
  <c r="J740" i="5" s="1"/>
  <c r="J714" i="5"/>
  <c r="J697" i="5"/>
  <c r="J705" i="5" s="1"/>
  <c r="J702" i="5"/>
  <c r="J703" i="5" s="1"/>
  <c r="J379" i="5" l="1"/>
  <c r="J905" i="5"/>
  <c r="J882" i="5"/>
  <c r="J883" i="5" s="1"/>
  <c r="J839" i="5"/>
  <c r="J840" i="5" s="1"/>
  <c r="J867" i="5"/>
  <c r="J872" i="5" s="1"/>
  <c r="J873" i="5" s="1"/>
  <c r="J906" i="5"/>
  <c r="J706" i="5"/>
  <c r="J707" i="5" s="1"/>
  <c r="J739" i="5"/>
  <c r="J741" i="5" s="1"/>
  <c r="J603" i="5"/>
  <c r="J610" i="5"/>
  <c r="J612" i="5" s="1"/>
  <c r="J1054" i="5"/>
  <c r="J1055" i="5" s="1"/>
  <c r="J737" i="5"/>
  <c r="J1029" i="5"/>
  <c r="J1032" i="5"/>
  <c r="J1033" i="5" s="1"/>
  <c r="J689" i="5"/>
  <c r="J999" i="5"/>
  <c r="J1000" i="5" s="1"/>
  <c r="J827" i="5"/>
  <c r="J828" i="5" s="1"/>
  <c r="J907" i="5" l="1"/>
  <c r="J1034" i="5"/>
  <c r="J1037" i="5"/>
  <c r="J1038" i="5" s="1"/>
  <c r="J1752" i="5"/>
  <c r="J1593" i="5"/>
  <c r="J1594" i="5"/>
  <c r="J1596" i="5"/>
  <c r="J1597" i="5"/>
  <c r="J1598" i="5"/>
  <c r="J1599" i="5"/>
  <c r="J1602" i="5"/>
  <c r="J1604" i="5"/>
  <c r="J1605" i="5"/>
  <c r="J1608" i="5"/>
  <c r="J1610" i="5"/>
  <c r="J1612" i="5"/>
  <c r="J1613" i="5"/>
  <c r="J1614" i="5"/>
  <c r="J1625" i="5"/>
  <c r="J1626" i="5"/>
  <c r="J1627" i="5"/>
  <c r="J1628" i="5"/>
  <c r="J1565" i="5"/>
  <c r="J1566" i="5"/>
  <c r="J1568" i="5"/>
  <c r="J1569" i="5"/>
  <c r="J1570" i="5"/>
  <c r="J1571" i="5"/>
  <c r="J1574" i="5"/>
  <c r="J1576" i="5"/>
  <c r="J1577" i="5"/>
  <c r="J1579" i="5"/>
  <c r="J1580" i="5"/>
  <c r="J1582" i="5"/>
  <c r="J1584" i="5"/>
  <c r="J1585" i="5"/>
  <c r="J1586" i="5"/>
  <c r="J1773" i="5"/>
  <c r="J1719" i="5"/>
  <c r="J1720" i="5" s="1"/>
  <c r="J1721" i="5" s="1"/>
  <c r="J1523" i="5"/>
  <c r="J1531" i="5" s="1"/>
  <c r="J1527" i="5"/>
  <c r="J1528" i="5" s="1"/>
  <c r="J1403" i="5"/>
  <c r="J1404" i="5"/>
  <c r="J1405" i="5"/>
  <c r="J1406" i="5"/>
  <c r="J1407" i="5"/>
  <c r="J1408" i="5"/>
  <c r="J1409" i="5"/>
  <c r="J1428" i="5"/>
  <c r="J1429" i="5" s="1"/>
  <c r="J1421" i="5"/>
  <c r="J1422" i="5" s="1"/>
  <c r="J1439" i="5"/>
  <c r="J1440" i="5" s="1"/>
  <c r="J1360" i="5"/>
  <c r="J1361" i="5"/>
  <c r="J1362" i="5"/>
  <c r="J1364" i="5"/>
  <c r="J1374" i="5"/>
  <c r="J1363" i="5" s="1"/>
  <c r="J1370" i="5"/>
  <c r="J1359" i="5" s="1"/>
  <c r="J1369" i="5"/>
  <c r="J1358" i="5" s="1"/>
  <c r="J1383" i="5"/>
  <c r="J1384" i="5" s="1"/>
  <c r="J1394" i="5"/>
  <c r="J1395" i="5" s="1"/>
  <c r="J1062" i="5"/>
  <c r="J1070" i="5" s="1"/>
  <c r="J1067" i="5"/>
  <c r="J1068" i="5" s="1"/>
  <c r="J986" i="5"/>
  <c r="J983" i="5"/>
  <c r="J984" i="5" s="1"/>
  <c r="J922" i="5"/>
  <c r="J923" i="5"/>
  <c r="J1603" i="5" s="1"/>
  <c r="J919" i="5"/>
  <c r="J920" i="5" s="1"/>
  <c r="J813" i="5"/>
  <c r="J814" i="5"/>
  <c r="J1601" i="5" s="1"/>
  <c r="J811" i="5"/>
  <c r="J788" i="5"/>
  <c r="J789" i="5" s="1"/>
  <c r="J793" i="5"/>
  <c r="J794" i="5" s="1"/>
  <c r="J722" i="5"/>
  <c r="J719" i="5"/>
  <c r="J720" i="5" s="1"/>
  <c r="J1543" i="5" l="1"/>
  <c r="J1546" i="5"/>
  <c r="J1540" i="5"/>
  <c r="J1558" i="5"/>
  <c r="J1410" i="5"/>
  <c r="J1411" i="5" s="1"/>
  <c r="J1549" i="5"/>
  <c r="J1556" i="5"/>
  <c r="J1548" i="5"/>
  <c r="J1071" i="5"/>
  <c r="J1609" i="5" s="1"/>
  <c r="J1365" i="5"/>
  <c r="J1366" i="5" s="1"/>
  <c r="J1774" i="5"/>
  <c r="J1552" i="5"/>
  <c r="J1542" i="5"/>
  <c r="J1557" i="5"/>
  <c r="J1607" i="5"/>
  <c r="J1551" i="5" s="1"/>
  <c r="J1529" i="5"/>
  <c r="J1532" i="5"/>
  <c r="J1533" i="5" s="1"/>
  <c r="J1629" i="5" s="1"/>
  <c r="J1630" i="5" s="1"/>
  <c r="J815" i="5"/>
  <c r="J987" i="5"/>
  <c r="J1606" i="5" s="1"/>
  <c r="J1443" i="5"/>
  <c r="J1616" i="5" s="1"/>
  <c r="J1573" i="5"/>
  <c r="J1545" i="5" s="1"/>
  <c r="J723" i="5"/>
  <c r="J1595" i="5" s="1"/>
  <c r="J797" i="5"/>
  <c r="J1600" i="5" s="1"/>
  <c r="J796" i="5"/>
  <c r="J1398" i="5"/>
  <c r="J1581" i="5"/>
  <c r="J924" i="5"/>
  <c r="J1397" i="5"/>
  <c r="J1587" i="5" s="1"/>
  <c r="J1554" i="5"/>
  <c r="J1541" i="5"/>
  <c r="J1537" i="5"/>
  <c r="J1575" i="5"/>
  <c r="J1547" i="5" s="1"/>
  <c r="J1578" i="5"/>
  <c r="J1567" i="5"/>
  <c r="J1538" i="5"/>
  <c r="J1442" i="5"/>
  <c r="J1376" i="5"/>
  <c r="J1377" i="5" s="1"/>
  <c r="J1173" i="5"/>
  <c r="J1109" i="5" s="1"/>
  <c r="J1171" i="5"/>
  <c r="J1107" i="5" s="1"/>
  <c r="J1170" i="5"/>
  <c r="J1106" i="5" s="1"/>
  <c r="J1178" i="5"/>
  <c r="J1180" i="5"/>
  <c r="J1116" i="5" s="1"/>
  <c r="J1164" i="5"/>
  <c r="J1100" i="5" s="1"/>
  <c r="J1163" i="5"/>
  <c r="J1099" i="5" s="1"/>
  <c r="J1142" i="5"/>
  <c r="J1122" i="5"/>
  <c r="J1094" i="5" s="1"/>
  <c r="J1153" i="5"/>
  <c r="J1207" i="5" s="1"/>
  <c r="K1146" i="5"/>
  <c r="J1093" i="5"/>
  <c r="J1095" i="5"/>
  <c r="J1096" i="5"/>
  <c r="J1097" i="5"/>
  <c r="J1098" i="5"/>
  <c r="J1101" i="5"/>
  <c r="J1102" i="5"/>
  <c r="J1103" i="5"/>
  <c r="J1104" i="5"/>
  <c r="J1105" i="5"/>
  <c r="J1108" i="5"/>
  <c r="J1110" i="5"/>
  <c r="J1111" i="5"/>
  <c r="J1112" i="5"/>
  <c r="J1113" i="5"/>
  <c r="J1115" i="5"/>
  <c r="J198" i="5"/>
  <c r="N168" i="5"/>
  <c r="O168" i="5" s="1"/>
  <c r="N136" i="5"/>
  <c r="O136" i="5" s="1"/>
  <c r="J58" i="5"/>
  <c r="J27" i="5"/>
  <c r="J724" i="5" l="1"/>
  <c r="J1550" i="5"/>
  <c r="J1553" i="5"/>
  <c r="J1072" i="5"/>
  <c r="J988" i="5"/>
  <c r="J1154" i="5"/>
  <c r="J1181" i="5"/>
  <c r="J1185" i="5" s="1"/>
  <c r="J1186" i="5" s="1"/>
  <c r="J1187" i="5" s="1"/>
  <c r="J1539" i="5"/>
  <c r="J1583" i="5"/>
  <c r="J1399" i="5"/>
  <c r="J1615" i="5"/>
  <c r="J1559" i="5" s="1"/>
  <c r="J1444" i="5"/>
  <c r="J1588" i="5"/>
  <c r="J1560" i="5" s="1"/>
  <c r="J798" i="5"/>
  <c r="J1572" i="5"/>
  <c r="J1544" i="5" s="1"/>
  <c r="J1145" i="5"/>
  <c r="J1146" i="5" s="1"/>
  <c r="J1114" i="5"/>
  <c r="J1117" i="5" s="1"/>
  <c r="J1118" i="5" s="1"/>
  <c r="J558" i="5"/>
  <c r="J559" i="5" s="1"/>
  <c r="J553" i="5"/>
  <c r="J554" i="5" s="1"/>
  <c r="J546" i="5"/>
  <c r="J355" i="5"/>
  <c r="J356" i="5"/>
  <c r="J357" i="5"/>
  <c r="J307" i="5"/>
  <c r="J308" i="5"/>
  <c r="J309" i="5"/>
  <c r="J310" i="5"/>
  <c r="J311" i="5"/>
  <c r="J312" i="5"/>
  <c r="J313" i="5"/>
  <c r="J314" i="5"/>
  <c r="J315" i="5"/>
  <c r="J316" i="5"/>
  <c r="J317" i="5"/>
  <c r="J318" i="5"/>
  <c r="J319" i="5"/>
  <c r="J320" i="5"/>
  <c r="J321" i="5"/>
  <c r="J322" i="5"/>
  <c r="J306" i="5"/>
  <c r="J178" i="5"/>
  <c r="I178" i="5"/>
  <c r="N176" i="5"/>
  <c r="O176" i="5" s="1"/>
  <c r="N162" i="5"/>
  <c r="O162" i="5" s="1"/>
  <c r="N145" i="5"/>
  <c r="O145" i="5" s="1"/>
  <c r="N79" i="5"/>
  <c r="O79" i="5" s="1"/>
  <c r="J1208" i="5" l="1"/>
  <c r="J1611" i="5" s="1"/>
  <c r="J1617" i="5" s="1"/>
  <c r="J1620" i="5" s="1"/>
  <c r="J1182" i="5"/>
  <c r="J522" i="5"/>
  <c r="J1589" i="5"/>
  <c r="J1619" i="5" s="1"/>
  <c r="J547" i="5"/>
  <c r="J521" i="5"/>
  <c r="I1699" i="5"/>
  <c r="I1703" i="5" s="1"/>
  <c r="I1704" i="5" s="1"/>
  <c r="I1691" i="5"/>
  <c r="I1695" i="5" s="1"/>
  <c r="I1696" i="5" s="1"/>
  <c r="J1621" i="5" l="1"/>
  <c r="J523" i="5"/>
  <c r="J524" i="5" s="1"/>
  <c r="J1866" i="5" s="1"/>
  <c r="J1555" i="5"/>
  <c r="J1561" i="5" s="1"/>
  <c r="J1209" i="5"/>
  <c r="I1850" i="5"/>
  <c r="I1831" i="5" l="1"/>
  <c r="I1819" i="5"/>
  <c r="I1816" i="5"/>
  <c r="I1853" i="5" l="1"/>
  <c r="I1852" i="5"/>
  <c r="I1851" i="5"/>
  <c r="I1820" i="5"/>
  <c r="I1854" i="5"/>
  <c r="I1845" i="5"/>
  <c r="I1773" i="5" l="1"/>
  <c r="I1747" i="5"/>
  <c r="I1720" i="5"/>
  <c r="I1721" i="5" s="1"/>
  <c r="I1774" i="5" l="1"/>
  <c r="I1682" i="5"/>
  <c r="I1683" i="5" s="1"/>
  <c r="I1660" i="5"/>
  <c r="I1661" i="5" s="1"/>
  <c r="I1667" i="5"/>
  <c r="I1668" i="5" s="1"/>
  <c r="I1687" i="5" l="1"/>
  <c r="I1868" i="5" s="1"/>
  <c r="I1686" i="5"/>
  <c r="I1655" i="5" l="1"/>
  <c r="I1656" i="5" s="1"/>
  <c r="I1645" i="5"/>
  <c r="I1646" i="5" s="1"/>
  <c r="I1867" i="5" s="1"/>
  <c r="I1598" i="5"/>
  <c r="I1570" i="5"/>
  <c r="I1528" i="5"/>
  <c r="I1532" i="5" s="1"/>
  <c r="I1523" i="5"/>
  <c r="I1531" i="5" s="1"/>
  <c r="I1515" i="5"/>
  <c r="I1516" i="5" s="1"/>
  <c r="I1499" i="5"/>
  <c r="I1500" i="5" s="1"/>
  <c r="I1490" i="5"/>
  <c r="I1487" i="5"/>
  <c r="I1481" i="5"/>
  <c r="I1482" i="5" s="1"/>
  <c r="I1474" i="5"/>
  <c r="I1475" i="5" s="1"/>
  <c r="I1464" i="5"/>
  <c r="I1459" i="5"/>
  <c r="I1460" i="5" s="1"/>
  <c r="I1452" i="5"/>
  <c r="I1453" i="5" s="1"/>
  <c r="I1439" i="5"/>
  <c r="I1440" i="5" s="1"/>
  <c r="I1414" i="5"/>
  <c r="I1403" i="5" s="1"/>
  <c r="I1428" i="5"/>
  <c r="I1429" i="5" s="1"/>
  <c r="I1409" i="5"/>
  <c r="I1408" i="5"/>
  <c r="I1407" i="5"/>
  <c r="I1406" i="5"/>
  <c r="I1405" i="5"/>
  <c r="I1404" i="5"/>
  <c r="H1394" i="5"/>
  <c r="H1398" i="5" s="1"/>
  <c r="I1394" i="5"/>
  <c r="I1398" i="5" s="1"/>
  <c r="I1615" i="5" s="1"/>
  <c r="I1383" i="5"/>
  <c r="I1384" i="5" s="1"/>
  <c r="H1376" i="5"/>
  <c r="I1376" i="5"/>
  <c r="I1377" i="5" s="1"/>
  <c r="I1364" i="5"/>
  <c r="I1363" i="5"/>
  <c r="I1362" i="5"/>
  <c r="I1361" i="5"/>
  <c r="I1360" i="5"/>
  <c r="I1359" i="5"/>
  <c r="I1358" i="5"/>
  <c r="I1349" i="5"/>
  <c r="I1353" i="5" s="1"/>
  <c r="I1614" i="5" s="1"/>
  <c r="I1331" i="5"/>
  <c r="I1332" i="5" s="1"/>
  <c r="I1324" i="5"/>
  <c r="I1325" i="5" s="1"/>
  <c r="I1304" i="5"/>
  <c r="I1303" i="5"/>
  <c r="I1302" i="5"/>
  <c r="I1301" i="5"/>
  <c r="I1300" i="5"/>
  <c r="I1299" i="5"/>
  <c r="I1298" i="5"/>
  <c r="I1297" i="5"/>
  <c r="I1296" i="5"/>
  <c r="I1295" i="5"/>
  <c r="I1294" i="5"/>
  <c r="I1293" i="5"/>
  <c r="I1292" i="5"/>
  <c r="I1283" i="5"/>
  <c r="I1287" i="5" s="1"/>
  <c r="I1613" i="5" s="1"/>
  <c r="I1278" i="5"/>
  <c r="I1286" i="5" s="1"/>
  <c r="I1585" i="5" s="1"/>
  <c r="I1261" i="5"/>
  <c r="I1262" i="5" s="1"/>
  <c r="I1246" i="5"/>
  <c r="I1247" i="5" s="1"/>
  <c r="I1239" i="5"/>
  <c r="I1240" i="5" s="1"/>
  <c r="I1213" i="5"/>
  <c r="I1214" i="5"/>
  <c r="I1215" i="5"/>
  <c r="I1216" i="5"/>
  <c r="I1217" i="5"/>
  <c r="I1218" i="5"/>
  <c r="I1219" i="5"/>
  <c r="I1220" i="5"/>
  <c r="I1221" i="5"/>
  <c r="I1222" i="5"/>
  <c r="I1223" i="5"/>
  <c r="I1203" i="5"/>
  <c r="I1195" i="5"/>
  <c r="I1196" i="5" s="1"/>
  <c r="I1170" i="5"/>
  <c r="I1171" i="5"/>
  <c r="I1178" i="5"/>
  <c r="I1421" i="5" l="1"/>
  <c r="I1422" i="5" s="1"/>
  <c r="I1542" i="5"/>
  <c r="I1269" i="5"/>
  <c r="I1584" i="5" s="1"/>
  <c r="I1557" i="5"/>
  <c r="I1443" i="5"/>
  <c r="I1616" i="5" s="1"/>
  <c r="I1181" i="5"/>
  <c r="I1185" i="5" s="1"/>
  <c r="I1186" i="5" s="1"/>
  <c r="I1187" i="5" s="1"/>
  <c r="I1265" i="5"/>
  <c r="I1266" i="5" s="1"/>
  <c r="I1270" i="5" s="1"/>
  <c r="I1397" i="5"/>
  <c r="I1587" i="5" s="1"/>
  <c r="I1559" i="5" s="1"/>
  <c r="I1628" i="5"/>
  <c r="I1506" i="5"/>
  <c r="I1529" i="5"/>
  <c r="I1625" i="5"/>
  <c r="I1442" i="5"/>
  <c r="I1588" i="5" s="1"/>
  <c r="I1489" i="5"/>
  <c r="I1491" i="5" s="1"/>
  <c r="I1626" i="5"/>
  <c r="I1533" i="5"/>
  <c r="I1629" i="5" s="1"/>
  <c r="I1410" i="5"/>
  <c r="I1411" i="5" s="1"/>
  <c r="I1395" i="5"/>
  <c r="I1365" i="5"/>
  <c r="I1366" i="5" s="1"/>
  <c r="I1350" i="5"/>
  <c r="I1352" i="5"/>
  <c r="I1586" i="5" s="1"/>
  <c r="I1558" i="5" s="1"/>
  <c r="I1306" i="5"/>
  <c r="I1307" i="5" s="1"/>
  <c r="I1305" i="5"/>
  <c r="I1288" i="5"/>
  <c r="I1284" i="5"/>
  <c r="I1224" i="5"/>
  <c r="I1225" i="5" s="1"/>
  <c r="I1145" i="5"/>
  <c r="I1146" i="5" s="1"/>
  <c r="I1153" i="5"/>
  <c r="I1116" i="5"/>
  <c r="I1115" i="5"/>
  <c r="I1114" i="5"/>
  <c r="I1113" i="5"/>
  <c r="I1112" i="5"/>
  <c r="I1111" i="5"/>
  <c r="I1110" i="5"/>
  <c r="I1109" i="5"/>
  <c r="I1108" i="5"/>
  <c r="I1107" i="5"/>
  <c r="I1106" i="5"/>
  <c r="I1105" i="5"/>
  <c r="I1104" i="5"/>
  <c r="I1103" i="5"/>
  <c r="I1102" i="5"/>
  <c r="I1101" i="5"/>
  <c r="I1100" i="5"/>
  <c r="I1099" i="5"/>
  <c r="I1098" i="5"/>
  <c r="I1097" i="5"/>
  <c r="I1096" i="5"/>
  <c r="I1095" i="5"/>
  <c r="I1094" i="5"/>
  <c r="I1093" i="5"/>
  <c r="I1084" i="5"/>
  <c r="I1088" i="5" s="1"/>
  <c r="I1610" i="5" s="1"/>
  <c r="I1079" i="5"/>
  <c r="I1087" i="5" s="1"/>
  <c r="I1582" i="5" s="1"/>
  <c r="I1062" i="5"/>
  <c r="I1070" i="5" s="1"/>
  <c r="I1581" i="5" s="1"/>
  <c r="I1067" i="5"/>
  <c r="I1045" i="5"/>
  <c r="I1053" i="5" s="1"/>
  <c r="I1580" i="5" s="1"/>
  <c r="I1050" i="5"/>
  <c r="I1051" i="5" s="1"/>
  <c r="I1028" i="5"/>
  <c r="I1029" i="5" s="1"/>
  <c r="I1017" i="5"/>
  <c r="I1036" i="5" s="1"/>
  <c r="I1579" i="5" s="1"/>
  <c r="I1010" i="5"/>
  <c r="I992" i="5"/>
  <c r="I993" i="5"/>
  <c r="I994" i="5"/>
  <c r="I995" i="5"/>
  <c r="I996" i="5"/>
  <c r="I997" i="5"/>
  <c r="I998" i="5"/>
  <c r="I978" i="5"/>
  <c r="I986" i="5" s="1"/>
  <c r="I1578" i="5" s="1"/>
  <c r="I983" i="5"/>
  <c r="I987" i="5" s="1"/>
  <c r="I966" i="5"/>
  <c r="I967" i="5" s="1"/>
  <c r="I961" i="5"/>
  <c r="I962" i="5" s="1"/>
  <c r="I954" i="5"/>
  <c r="I955" i="5" s="1"/>
  <c r="I940" i="5"/>
  <c r="I1604" i="5" s="1"/>
  <c r="I936" i="5"/>
  <c r="I931" i="5"/>
  <c r="I939" i="5" s="1"/>
  <c r="I923" i="5"/>
  <c r="I1603" i="5" s="1"/>
  <c r="I919" i="5"/>
  <c r="I920" i="5" s="1"/>
  <c r="I914" i="5"/>
  <c r="I922" i="5" s="1"/>
  <c r="I899" i="5"/>
  <c r="I900" i="5" s="1"/>
  <c r="I902" i="5"/>
  <c r="I903" i="5"/>
  <c r="I889" i="5"/>
  <c r="I890" i="5" s="1"/>
  <c r="I882" i="5"/>
  <c r="I883" i="5" s="1"/>
  <c r="I871" i="5"/>
  <c r="I870" i="5"/>
  <c r="I869" i="5"/>
  <c r="I868" i="5"/>
  <c r="I867" i="5"/>
  <c r="I866" i="5"/>
  <c r="I862" i="5"/>
  <c r="I1602" i="5" s="1"/>
  <c r="I861" i="5"/>
  <c r="I1574" i="5" s="1"/>
  <c r="I858" i="5"/>
  <c r="I859" i="5" s="1"/>
  <c r="I846" i="5"/>
  <c r="I847" i="5" s="1"/>
  <c r="I839" i="5"/>
  <c r="I840" i="5" s="1"/>
  <c r="I826" i="5"/>
  <c r="I825" i="5"/>
  <c r="I824" i="5"/>
  <c r="I823" i="5"/>
  <c r="I822" i="5"/>
  <c r="I821" i="5"/>
  <c r="I820" i="5"/>
  <c r="I819" i="5"/>
  <c r="I810" i="5"/>
  <c r="I814" i="5" s="1"/>
  <c r="I1601" i="5" s="1"/>
  <c r="I805" i="5"/>
  <c r="I806" i="5" s="1"/>
  <c r="I793" i="5"/>
  <c r="I794" i="5" s="1"/>
  <c r="I788" i="5"/>
  <c r="I789" i="5" s="1"/>
  <c r="I776" i="5"/>
  <c r="I780" i="5" s="1"/>
  <c r="I1599" i="5" s="1"/>
  <c r="I771" i="5"/>
  <c r="I779" i="5" s="1"/>
  <c r="I1571" i="5" s="1"/>
  <c r="I759" i="5"/>
  <c r="I760" i="5" s="1"/>
  <c r="I754" i="5"/>
  <c r="I755" i="5" s="1"/>
  <c r="I747" i="5"/>
  <c r="I736" i="5"/>
  <c r="I737" i="5" s="1"/>
  <c r="I731" i="5"/>
  <c r="I732" i="5" s="1"/>
  <c r="I719" i="5"/>
  <c r="I723" i="5" s="1"/>
  <c r="I1595" i="5" s="1"/>
  <c r="I714" i="5"/>
  <c r="I722" i="5" s="1"/>
  <c r="I1567" i="5" s="1"/>
  <c r="I702" i="5"/>
  <c r="I706" i="5" s="1"/>
  <c r="I1594" i="5" s="1"/>
  <c r="I697" i="5"/>
  <c r="I705" i="5" s="1"/>
  <c r="I622" i="5"/>
  <c r="I615" i="5"/>
  <c r="I628" i="5" s="1"/>
  <c r="I629" i="5" s="1"/>
  <c r="I1267" i="5" l="1"/>
  <c r="I1539" i="5"/>
  <c r="I1554" i="5"/>
  <c r="I1399" i="5"/>
  <c r="I739" i="5"/>
  <c r="I1568" i="5" s="1"/>
  <c r="I763" i="5"/>
  <c r="I1597" i="5" s="1"/>
  <c r="I1354" i="5"/>
  <c r="I1444" i="5"/>
  <c r="I905" i="5"/>
  <c r="I1071" i="5"/>
  <c r="I1609" i="5" s="1"/>
  <c r="I1553" i="5" s="1"/>
  <c r="I1068" i="5"/>
  <c r="I969" i="5"/>
  <c r="I1577" i="5" s="1"/>
  <c r="I707" i="5"/>
  <c r="I1566" i="5"/>
  <c r="I1538" i="5" s="1"/>
  <c r="I1612" i="5"/>
  <c r="I1556" i="5" s="1"/>
  <c r="I1271" i="5"/>
  <c r="I1546" i="5"/>
  <c r="I941" i="5"/>
  <c r="I1576" i="5"/>
  <c r="I1548" i="5" s="1"/>
  <c r="I988" i="5"/>
  <c r="I1606" i="5"/>
  <c r="I1550" i="5" s="1"/>
  <c r="I1560" i="5"/>
  <c r="I1182" i="5"/>
  <c r="I1208" i="5"/>
  <c r="I1611" i="5" s="1"/>
  <c r="I796" i="5"/>
  <c r="I740" i="5"/>
  <c r="I1596" i="5" s="1"/>
  <c r="I1543" i="5"/>
  <c r="I924" i="5"/>
  <c r="I1575" i="5"/>
  <c r="I1547" i="5" s="1"/>
  <c r="I1154" i="5"/>
  <c r="I1207" i="5"/>
  <c r="I762" i="5"/>
  <c r="I797" i="5"/>
  <c r="I1600" i="5" s="1"/>
  <c r="I906" i="5"/>
  <c r="I999" i="5"/>
  <c r="I1000" i="5" s="1"/>
  <c r="I1507" i="5"/>
  <c r="I1627" i="5"/>
  <c r="I1630" i="5" s="1"/>
  <c r="I1117" i="5"/>
  <c r="I1118" i="5" s="1"/>
  <c r="I1085" i="5"/>
  <c r="I1089" i="5"/>
  <c r="I1054" i="5"/>
  <c r="I1608" i="5" s="1"/>
  <c r="I1552" i="5" s="1"/>
  <c r="I1032" i="5"/>
  <c r="I1033" i="5" s="1"/>
  <c r="I984" i="5"/>
  <c r="I970" i="5"/>
  <c r="I1605" i="5" s="1"/>
  <c r="I872" i="5"/>
  <c r="I873" i="5" s="1"/>
  <c r="I827" i="5"/>
  <c r="I828" i="5" s="1"/>
  <c r="I813" i="5"/>
  <c r="I811" i="5"/>
  <c r="I777" i="5"/>
  <c r="I781" i="5"/>
  <c r="I724" i="5"/>
  <c r="I720" i="5"/>
  <c r="I633" i="5"/>
  <c r="I630" i="5"/>
  <c r="I684" i="5"/>
  <c r="I688" i="5" s="1"/>
  <c r="I1593" i="5" s="1"/>
  <c r="I679" i="5"/>
  <c r="I680" i="5" s="1"/>
  <c r="I652" i="5"/>
  <c r="I653" i="5" s="1"/>
  <c r="I657" i="5" s="1"/>
  <c r="I646" i="5"/>
  <c r="I648" i="5" s="1"/>
  <c r="I649" i="5" s="1"/>
  <c r="I637" i="5"/>
  <c r="I641" i="5" s="1"/>
  <c r="I642" i="5" s="1"/>
  <c r="I624" i="5"/>
  <c r="I617" i="5"/>
  <c r="I618" i="5" s="1"/>
  <c r="I601" i="5"/>
  <c r="I600" i="5"/>
  <c r="I599" i="5"/>
  <c r="I598" i="5"/>
  <c r="I591" i="5"/>
  <c r="I907" i="5" l="1"/>
  <c r="I1540" i="5"/>
  <c r="I1072" i="5"/>
  <c r="I741" i="5"/>
  <c r="I1549" i="5"/>
  <c r="I656" i="5"/>
  <c r="I658" i="5" s="1"/>
  <c r="I798" i="5"/>
  <c r="I1572" i="5"/>
  <c r="I1544" i="5" s="1"/>
  <c r="I1209" i="5"/>
  <c r="I1583" i="5"/>
  <c r="I1555" i="5" s="1"/>
  <c r="I764" i="5"/>
  <c r="I1569" i="5"/>
  <c r="I1541" i="5" s="1"/>
  <c r="I625" i="5"/>
  <c r="I632" i="5"/>
  <c r="I634" i="5" s="1"/>
  <c r="I654" i="5"/>
  <c r="I815" i="5"/>
  <c r="I1573" i="5"/>
  <c r="I1545" i="5" s="1"/>
  <c r="I971" i="5"/>
  <c r="I1055" i="5"/>
  <c r="I1034" i="5"/>
  <c r="I1037" i="5"/>
  <c r="I687" i="5"/>
  <c r="I1565" i="5" s="1"/>
  <c r="I685" i="5"/>
  <c r="I606" i="5"/>
  <c r="I607" i="5" s="1"/>
  <c r="I602" i="5"/>
  <c r="I610" i="5" s="1"/>
  <c r="I588" i="5"/>
  <c r="I593" i="5" s="1"/>
  <c r="I594" i="5" s="1"/>
  <c r="I689" i="5" l="1"/>
  <c r="I1589" i="5"/>
  <c r="I1619" i="5" s="1"/>
  <c r="I1537" i="5"/>
  <c r="I1038" i="5"/>
  <c r="I1607" i="5"/>
  <c r="I611" i="5"/>
  <c r="I612" i="5" s="1"/>
  <c r="I608" i="5"/>
  <c r="I603" i="5"/>
  <c r="I580" i="5"/>
  <c r="I584" i="5" s="1"/>
  <c r="I575" i="5"/>
  <c r="I576" i="5" s="1"/>
  <c r="I567" i="5"/>
  <c r="I568" i="5" s="1"/>
  <c r="I558" i="5"/>
  <c r="I559" i="5" s="1"/>
  <c r="I553" i="5"/>
  <c r="I554" i="5" s="1"/>
  <c r="I546" i="5"/>
  <c r="I547" i="5" s="1"/>
  <c r="I517" i="5"/>
  <c r="I508" i="5"/>
  <c r="I498" i="5"/>
  <c r="I489" i="5"/>
  <c r="I490" i="5" s="1"/>
  <c r="I476" i="5"/>
  <c r="I477" i="5" s="1"/>
  <c r="I470" i="5"/>
  <c r="I459" i="5"/>
  <c r="I463" i="5" s="1"/>
  <c r="I465" i="5" s="1"/>
  <c r="I452" i="5"/>
  <c r="I444" i="5"/>
  <c r="I445" i="5" s="1"/>
  <c r="I432" i="5"/>
  <c r="I415" i="5"/>
  <c r="I399" i="5"/>
  <c r="I400" i="5" s="1"/>
  <c r="I384" i="5"/>
  <c r="I378" i="5"/>
  <c r="I373" i="5"/>
  <c r="I375" i="5" s="1"/>
  <c r="I1865" i="5" s="1"/>
  <c r="I357" i="5"/>
  <c r="I356" i="5"/>
  <c r="I355" i="5"/>
  <c r="I322" i="5"/>
  <c r="I321" i="5"/>
  <c r="I320" i="5"/>
  <c r="I319" i="5"/>
  <c r="I318" i="5"/>
  <c r="I317" i="5"/>
  <c r="I316" i="5"/>
  <c r="I315" i="5"/>
  <c r="I314" i="5"/>
  <c r="I313" i="5"/>
  <c r="I312" i="5"/>
  <c r="I311" i="5"/>
  <c r="I310" i="5"/>
  <c r="I309" i="5"/>
  <c r="I308" i="5"/>
  <c r="I307" i="5"/>
  <c r="I306" i="5"/>
  <c r="I235" i="5"/>
  <c r="I215" i="5"/>
  <c r="I323" i="5" l="1"/>
  <c r="I379" i="5"/>
  <c r="I583" i="5"/>
  <c r="I585" i="5" s="1"/>
  <c r="I377" i="5"/>
  <c r="I1551" i="5"/>
  <c r="I1561" i="5" s="1"/>
  <c r="I1617" i="5"/>
  <c r="I1620" i="5" s="1"/>
  <c r="I1621" i="5" s="1"/>
  <c r="I581" i="5"/>
  <c r="I522" i="5"/>
  <c r="I521" i="5"/>
  <c r="I461" i="5"/>
  <c r="N170" i="5"/>
  <c r="O170" i="5" s="1"/>
  <c r="N132" i="5"/>
  <c r="O132" i="5" s="1"/>
  <c r="N129" i="5"/>
  <c r="O129" i="5" s="1"/>
  <c r="N112" i="5"/>
  <c r="O112" i="5" s="1"/>
  <c r="I523" i="5" l="1"/>
  <c r="I524" i="5" s="1"/>
  <c r="I1866" i="5" s="1"/>
  <c r="I75" i="5"/>
  <c r="I27" i="5"/>
  <c r="I17" i="5" l="1"/>
  <c r="I16" i="5"/>
  <c r="I15" i="5"/>
  <c r="I12" i="5"/>
  <c r="I1848" i="5" s="1"/>
  <c r="I18" i="5" l="1"/>
  <c r="H1703" i="5"/>
  <c r="H1704" i="5" s="1"/>
  <c r="H1695" i="5" l="1"/>
  <c r="H1696" i="5" s="1"/>
  <c r="H1845" i="5"/>
  <c r="H1831" i="5"/>
  <c r="H1816" i="5"/>
  <c r="H1819" i="5" l="1"/>
  <c r="H1820" i="5" s="1"/>
  <c r="H1850" i="5" l="1"/>
  <c r="H1851" i="5"/>
  <c r="H1852" i="5"/>
  <c r="H1853" i="5"/>
  <c r="H1747" i="5"/>
  <c r="H1774" i="5" s="1"/>
  <c r="H1720" i="5"/>
  <c r="H1721" i="5" s="1"/>
  <c r="H1854" i="5" l="1"/>
  <c r="H1682" i="5"/>
  <c r="H1683" i="5" s="1"/>
  <c r="H1686" i="5" l="1"/>
  <c r="H1667" i="5"/>
  <c r="H1668" i="5" s="1"/>
  <c r="H1660" i="5"/>
  <c r="H1661" i="5" s="1"/>
  <c r="H1655" i="5"/>
  <c r="H1656" i="5" s="1"/>
  <c r="H1645" i="5"/>
  <c r="H1646" i="5" s="1"/>
  <c r="H1867" i="5" s="1"/>
  <c r="N670" i="5"/>
  <c r="H1570" i="5"/>
  <c r="H1598" i="5"/>
  <c r="H1528" i="5"/>
  <c r="H1529" i="5" s="1"/>
  <c r="H1523" i="5"/>
  <c r="H1531" i="5" s="1"/>
  <c r="H1515" i="5"/>
  <c r="H1516" i="5" s="1"/>
  <c r="H1499" i="5"/>
  <c r="H1506" i="5" s="1"/>
  <c r="H1507" i="5" s="1"/>
  <c r="H1490" i="5"/>
  <c r="H1487" i="5"/>
  <c r="H1481" i="5"/>
  <c r="H1482" i="5" s="1"/>
  <c r="H1474" i="5"/>
  <c r="H1475" i="5" s="1"/>
  <c r="H1464" i="5"/>
  <c r="H1459" i="5"/>
  <c r="H1460" i="5" s="1"/>
  <c r="H1452" i="5"/>
  <c r="H1453" i="5" s="1"/>
  <c r="H1439" i="5"/>
  <c r="H1443" i="5" s="1"/>
  <c r="H1616" i="5" s="1"/>
  <c r="H1428" i="5"/>
  <c r="H1421" i="5"/>
  <c r="H1409" i="5"/>
  <c r="H1408" i="5"/>
  <c r="H1407" i="5"/>
  <c r="H1406" i="5"/>
  <c r="H1405" i="5"/>
  <c r="H1404" i="5"/>
  <c r="H1403" i="5"/>
  <c r="H1615" i="5"/>
  <c r="H1383" i="5"/>
  <c r="H1397" i="5" s="1"/>
  <c r="H1399" i="5" s="1"/>
  <c r="H1364" i="5"/>
  <c r="H1363" i="5"/>
  <c r="H1362" i="5"/>
  <c r="H1361" i="5"/>
  <c r="H1360" i="5"/>
  <c r="H1359" i="5"/>
  <c r="H1358" i="5"/>
  <c r="H1322" i="5"/>
  <c r="H1304" i="5" s="1"/>
  <c r="H1318" i="5"/>
  <c r="H1300" i="5" s="1"/>
  <c r="H1316" i="5"/>
  <c r="H1298" i="5" s="1"/>
  <c r="H1310" i="5"/>
  <c r="H1292" i="5" s="1"/>
  <c r="H1349" i="5"/>
  <c r="H1353" i="5" s="1"/>
  <c r="H1614" i="5" s="1"/>
  <c r="H1331" i="5"/>
  <c r="H1332" i="5" s="1"/>
  <c r="H1303" i="5"/>
  <c r="H1302" i="5"/>
  <c r="H1301" i="5"/>
  <c r="H1299" i="5"/>
  <c r="H1297" i="5"/>
  <c r="H1296" i="5"/>
  <c r="H1295" i="5"/>
  <c r="H1294" i="5"/>
  <c r="H1293" i="5"/>
  <c r="H1283" i="5"/>
  <c r="H1287" i="5" s="1"/>
  <c r="H1613" i="5" s="1"/>
  <c r="H1278" i="5"/>
  <c r="H1286" i="5" s="1"/>
  <c r="H1585" i="5" s="1"/>
  <c r="H1261" i="5"/>
  <c r="H1262" i="5" s="1"/>
  <c r="H1246" i="5"/>
  <c r="H1247" i="5" s="1"/>
  <c r="H1239" i="5"/>
  <c r="H1240" i="5" s="1"/>
  <c r="H1223" i="5"/>
  <c r="H1222" i="5"/>
  <c r="H1221" i="5"/>
  <c r="H1220" i="5"/>
  <c r="H1219" i="5"/>
  <c r="H1218" i="5"/>
  <c r="H1217" i="5"/>
  <c r="H1216" i="5"/>
  <c r="H1215" i="5"/>
  <c r="H1214" i="5"/>
  <c r="H1213" i="5"/>
  <c r="H1203" i="5"/>
  <c r="H1195" i="5"/>
  <c r="H1196" i="5" s="1"/>
  <c r="H1171" i="5"/>
  <c r="H1107" i="5" s="1"/>
  <c r="H1170" i="5"/>
  <c r="H1178" i="5"/>
  <c r="H1114" i="5" s="1"/>
  <c r="H1153" i="5"/>
  <c r="H1154" i="5" s="1"/>
  <c r="H1145" i="5"/>
  <c r="H1146" i="5" s="1"/>
  <c r="H1116" i="5"/>
  <c r="H1115" i="5"/>
  <c r="H1113" i="5"/>
  <c r="H1112" i="5"/>
  <c r="H1111" i="5"/>
  <c r="H1110" i="5"/>
  <c r="H1109" i="5"/>
  <c r="H1108" i="5"/>
  <c r="H1106" i="5"/>
  <c r="H1105" i="5"/>
  <c r="H1104" i="5"/>
  <c r="H1103" i="5"/>
  <c r="H1102" i="5"/>
  <c r="H1101" i="5"/>
  <c r="H1100" i="5"/>
  <c r="H1099" i="5"/>
  <c r="H1098" i="5"/>
  <c r="H1097" i="5"/>
  <c r="H1096" i="5"/>
  <c r="H1094" i="5"/>
  <c r="H1093" i="5"/>
  <c r="H1084" i="5"/>
  <c r="H1088" i="5" s="1"/>
  <c r="H1610" i="5" s="1"/>
  <c r="H1079" i="5"/>
  <c r="H1087" i="5" s="1"/>
  <c r="H1582" i="5" s="1"/>
  <c r="H1067" i="5"/>
  <c r="H1062" i="5"/>
  <c r="H1070" i="5" s="1"/>
  <c r="H1581" i="5" s="1"/>
  <c r="H1050" i="5"/>
  <c r="H1054" i="5" s="1"/>
  <c r="H1608" i="5" s="1"/>
  <c r="H1045" i="5"/>
  <c r="H1053" i="5" s="1"/>
  <c r="H1580" i="5" s="1"/>
  <c r="H1028" i="5"/>
  <c r="H1029" i="5" s="1"/>
  <c r="H1017" i="5"/>
  <c r="H1036" i="5" s="1"/>
  <c r="H1010" i="5"/>
  <c r="H998" i="5"/>
  <c r="H997" i="5"/>
  <c r="H996" i="5"/>
  <c r="H995" i="5"/>
  <c r="H994" i="5"/>
  <c r="H993" i="5"/>
  <c r="H992" i="5"/>
  <c r="H983" i="5"/>
  <c r="H987" i="5" s="1"/>
  <c r="H1606" i="5" s="1"/>
  <c r="H978" i="5"/>
  <c r="H986" i="5" s="1"/>
  <c r="H1578" i="5" s="1"/>
  <c r="H1205" i="5" l="1"/>
  <c r="H1550" i="5"/>
  <c r="H1552" i="5"/>
  <c r="H1071" i="5"/>
  <c r="H1609" i="5" s="1"/>
  <c r="H1553" i="5" s="1"/>
  <c r="H1068" i="5"/>
  <c r="H1265" i="5"/>
  <c r="H1266" i="5" s="1"/>
  <c r="H1270" i="5" s="1"/>
  <c r="H1612" i="5" s="1"/>
  <c r="H1626" i="5"/>
  <c r="H1207" i="5"/>
  <c r="H1583" i="5" s="1"/>
  <c r="H1489" i="5"/>
  <c r="H1491" i="5" s="1"/>
  <c r="H1557" i="5"/>
  <c r="H1554" i="5"/>
  <c r="H1542" i="5"/>
  <c r="H1032" i="5"/>
  <c r="H1033" i="5" s="1"/>
  <c r="H1037" i="5" s="1"/>
  <c r="H1607" i="5" s="1"/>
  <c r="H1442" i="5"/>
  <c r="H1588" i="5" s="1"/>
  <c r="H1560" i="5" s="1"/>
  <c r="H1625" i="5"/>
  <c r="H1269" i="5"/>
  <c r="H1587" i="5"/>
  <c r="H1559" i="5" s="1"/>
  <c r="H1628" i="5"/>
  <c r="H1055" i="5"/>
  <c r="H1181" i="5"/>
  <c r="H1288" i="5"/>
  <c r="H1532" i="5"/>
  <c r="H1533" i="5" s="1"/>
  <c r="H1629" i="5" s="1"/>
  <c r="H1627" i="5"/>
  <c r="H1579" i="5"/>
  <c r="H1500" i="5"/>
  <c r="H1440" i="5"/>
  <c r="H1410" i="5"/>
  <c r="H1411" i="5" s="1"/>
  <c r="H1365" i="5"/>
  <c r="H1350" i="5"/>
  <c r="H1306" i="5"/>
  <c r="H1307" i="5" s="1"/>
  <c r="H1324" i="5"/>
  <c r="H1325" i="5" s="1"/>
  <c r="H1352" i="5"/>
  <c r="H1284" i="5"/>
  <c r="H1267" i="5"/>
  <c r="H1224" i="5"/>
  <c r="H1225" i="5" s="1"/>
  <c r="H1204" i="5"/>
  <c r="H1095" i="5"/>
  <c r="H1117" i="5" s="1"/>
  <c r="H1118" i="5" s="1"/>
  <c r="H1089" i="5"/>
  <c r="H1085" i="5"/>
  <c r="H1051" i="5"/>
  <c r="H999" i="5"/>
  <c r="H1000" i="5" s="1"/>
  <c r="H988" i="5"/>
  <c r="H984" i="5"/>
  <c r="H966" i="5"/>
  <c r="H970" i="5" s="1"/>
  <c r="H1605" i="5" s="1"/>
  <c r="H961" i="5"/>
  <c r="H962" i="5" s="1"/>
  <c r="H954" i="5"/>
  <c r="H955" i="5" s="1"/>
  <c r="H940" i="5"/>
  <c r="H1604" i="5" s="1"/>
  <c r="H936" i="5"/>
  <c r="H931" i="5"/>
  <c r="H939" i="5" s="1"/>
  <c r="H923" i="5"/>
  <c r="H1603" i="5" s="1"/>
  <c r="H919" i="5"/>
  <c r="H920" i="5" s="1"/>
  <c r="H914" i="5"/>
  <c r="H922" i="5" s="1"/>
  <c r="H1575" i="5" s="1"/>
  <c r="H903" i="5"/>
  <c r="H902" i="5"/>
  <c r="H899" i="5"/>
  <c r="H900" i="5" s="1"/>
  <c r="H889" i="5"/>
  <c r="H890" i="5" s="1"/>
  <c r="H882" i="5"/>
  <c r="H883" i="5" s="1"/>
  <c r="H871" i="5"/>
  <c r="H870" i="5"/>
  <c r="H869" i="5"/>
  <c r="H868" i="5"/>
  <c r="H867" i="5"/>
  <c r="H866" i="5"/>
  <c r="H862" i="5"/>
  <c r="H1602" i="5" s="1"/>
  <c r="H861" i="5"/>
  <c r="H1574" i="5" s="1"/>
  <c r="H858" i="5"/>
  <c r="H859" i="5" s="1"/>
  <c r="H846" i="5"/>
  <c r="H847" i="5" s="1"/>
  <c r="H839" i="5"/>
  <c r="H840" i="5" s="1"/>
  <c r="H826" i="5"/>
  <c r="H825" i="5"/>
  <c r="H824" i="5"/>
  <c r="H823" i="5"/>
  <c r="H822" i="5"/>
  <c r="H821" i="5"/>
  <c r="H820" i="5"/>
  <c r="H819" i="5"/>
  <c r="H810" i="5"/>
  <c r="H814" i="5" s="1"/>
  <c r="H1601" i="5" s="1"/>
  <c r="H805" i="5"/>
  <c r="H806" i="5" s="1"/>
  <c r="H793" i="5"/>
  <c r="H797" i="5" s="1"/>
  <c r="H1600" i="5" s="1"/>
  <c r="H788" i="5"/>
  <c r="H776" i="5"/>
  <c r="H780" i="5" s="1"/>
  <c r="H1599" i="5" s="1"/>
  <c r="H771" i="5"/>
  <c r="H779" i="5" s="1"/>
  <c r="H759" i="5"/>
  <c r="H754" i="5"/>
  <c r="H755" i="5" s="1"/>
  <c r="H747" i="5"/>
  <c r="H736" i="5"/>
  <c r="H740" i="5" s="1"/>
  <c r="H1596" i="5" s="1"/>
  <c r="H731" i="5"/>
  <c r="H732" i="5" s="1"/>
  <c r="H719" i="5"/>
  <c r="H723" i="5" s="1"/>
  <c r="H1595" i="5" s="1"/>
  <c r="H714" i="5"/>
  <c r="H722" i="5" s="1"/>
  <c r="H702" i="5"/>
  <c r="H706" i="5" s="1"/>
  <c r="H1594" i="5" s="1"/>
  <c r="H697" i="5"/>
  <c r="H705" i="5" s="1"/>
  <c r="H1566" i="5" s="1"/>
  <c r="H684" i="5"/>
  <c r="H688" i="5" s="1"/>
  <c r="H1593" i="5" s="1"/>
  <c r="H679" i="5"/>
  <c r="H680" i="5" s="1"/>
  <c r="H652" i="5"/>
  <c r="H653" i="5" s="1"/>
  <c r="H657" i="5" s="1"/>
  <c r="G652" i="5"/>
  <c r="H646" i="5"/>
  <c r="H648" i="5" s="1"/>
  <c r="H649" i="5" s="1"/>
  <c r="H637" i="5"/>
  <c r="H641" i="5" s="1"/>
  <c r="H642" i="5" s="1"/>
  <c r="H622" i="5"/>
  <c r="H624" i="5" s="1"/>
  <c r="H625" i="5" s="1"/>
  <c r="H615" i="5"/>
  <c r="H628" i="5" s="1"/>
  <c r="H629" i="5" s="1"/>
  <c r="H630" i="5" s="1"/>
  <c r="H601" i="5"/>
  <c r="H600" i="5"/>
  <c r="H599" i="5"/>
  <c r="H598" i="5"/>
  <c r="H606" i="5"/>
  <c r="H607" i="5" s="1"/>
  <c r="H608" i="5" s="1"/>
  <c r="H588" i="5"/>
  <c r="H593" i="5" s="1"/>
  <c r="H594" i="5" s="1"/>
  <c r="H580" i="5"/>
  <c r="H584" i="5" s="1"/>
  <c r="H575" i="5"/>
  <c r="H576" i="5" s="1"/>
  <c r="H567" i="5"/>
  <c r="H568" i="5" s="1"/>
  <c r="H558" i="5"/>
  <c r="H559" i="5" s="1"/>
  <c r="H553" i="5"/>
  <c r="H554" i="5" s="1"/>
  <c r="H546" i="5"/>
  <c r="H547" i="5" s="1"/>
  <c r="H517" i="5"/>
  <c r="H508" i="5"/>
  <c r="H498" i="5"/>
  <c r="H489" i="5"/>
  <c r="H490" i="5" s="1"/>
  <c r="H476" i="5"/>
  <c r="H477" i="5" s="1"/>
  <c r="H470" i="5"/>
  <c r="H459" i="5"/>
  <c r="H463" i="5" s="1"/>
  <c r="H465" i="5" s="1"/>
  <c r="H452" i="5"/>
  <c r="H444" i="5"/>
  <c r="H445" i="5" s="1"/>
  <c r="H432" i="5"/>
  <c r="H415" i="5"/>
  <c r="H399" i="5"/>
  <c r="H400" i="5" s="1"/>
  <c r="H384" i="5"/>
  <c r="H373" i="5"/>
  <c r="H375" i="5" s="1"/>
  <c r="H1865" i="5" s="1"/>
  <c r="H378" i="5"/>
  <c r="D378" i="5"/>
  <c r="E378" i="5"/>
  <c r="F378" i="5"/>
  <c r="G378" i="5"/>
  <c r="C378" i="5"/>
  <c r="H357" i="5"/>
  <c r="H356" i="5"/>
  <c r="H355" i="5"/>
  <c r="H322" i="5"/>
  <c r="H321" i="5"/>
  <c r="H320" i="5"/>
  <c r="H319" i="5"/>
  <c r="H318" i="5"/>
  <c r="H317" i="5"/>
  <c r="H316" i="5"/>
  <c r="H315" i="5"/>
  <c r="H314" i="5"/>
  <c r="H313" i="5"/>
  <c r="H312" i="5"/>
  <c r="H311" i="5"/>
  <c r="H310" i="5"/>
  <c r="H309" i="5"/>
  <c r="H308" i="5"/>
  <c r="H307" i="5"/>
  <c r="H306" i="5"/>
  <c r="H178" i="5"/>
  <c r="G178" i="5"/>
  <c r="N158" i="5"/>
  <c r="O158" i="5" s="1"/>
  <c r="N157" i="5"/>
  <c r="O157" i="5" s="1"/>
  <c r="N138" i="5"/>
  <c r="O138" i="5" s="1"/>
  <c r="N131" i="5"/>
  <c r="O131" i="5" s="1"/>
  <c r="N121" i="5"/>
  <c r="O121" i="5" s="1"/>
  <c r="N106" i="5"/>
  <c r="O106" i="5" s="1"/>
  <c r="N96" i="5"/>
  <c r="O96" i="5" s="1"/>
  <c r="N85" i="5"/>
  <c r="O85" i="5" s="1"/>
  <c r="H37" i="5"/>
  <c r="H17" i="5"/>
  <c r="H16" i="5"/>
  <c r="H15" i="5"/>
  <c r="H12" i="5"/>
  <c r="H1848" i="5" s="1"/>
  <c r="H969" i="5" l="1"/>
  <c r="H1577" i="5" s="1"/>
  <c r="H1549" i="5" s="1"/>
  <c r="H1034" i="5"/>
  <c r="H1072" i="5"/>
  <c r="H1038" i="5"/>
  <c r="H377" i="5"/>
  <c r="H1551" i="5"/>
  <c r="H1546" i="5"/>
  <c r="H581" i="5"/>
  <c r="H762" i="5"/>
  <c r="H1569" i="5" s="1"/>
  <c r="H323" i="5"/>
  <c r="H583" i="5"/>
  <c r="H585" i="5" s="1"/>
  <c r="H905" i="5"/>
  <c r="H941" i="5"/>
  <c r="H1576" i="5"/>
  <c r="H1548" i="5" s="1"/>
  <c r="H1354" i="5"/>
  <c r="H1586" i="5"/>
  <c r="H1558" i="5" s="1"/>
  <c r="H685" i="5"/>
  <c r="H777" i="5"/>
  <c r="H1182" i="5"/>
  <c r="H1185" i="5"/>
  <c r="H1186" i="5" s="1"/>
  <c r="H1187" i="5" s="1"/>
  <c r="H1208" i="5"/>
  <c r="H18" i="5"/>
  <c r="H379" i="5"/>
  <c r="H611" i="5"/>
  <c r="H633" i="5"/>
  <c r="H687" i="5"/>
  <c r="H1565" i="5" s="1"/>
  <c r="H1537" i="5" s="1"/>
  <c r="H724" i="5"/>
  <c r="H1567" i="5"/>
  <c r="H763" i="5"/>
  <c r="H1597" i="5" s="1"/>
  <c r="H811" i="5"/>
  <c r="H906" i="5"/>
  <c r="H1271" i="5"/>
  <c r="H1584" i="5"/>
  <c r="H1556" i="5" s="1"/>
  <c r="H522" i="5"/>
  <c r="H632" i="5"/>
  <c r="H1538" i="5"/>
  <c r="H781" i="5"/>
  <c r="H1571" i="5"/>
  <c r="H1543" i="5" s="1"/>
  <c r="H1547" i="5"/>
  <c r="H1305" i="5"/>
  <c r="H1444" i="5"/>
  <c r="H1630" i="5"/>
  <c r="H967" i="5"/>
  <c r="H924" i="5"/>
  <c r="H872" i="5"/>
  <c r="H873" i="5" s="1"/>
  <c r="H827" i="5"/>
  <c r="H828" i="5" s="1"/>
  <c r="H813" i="5"/>
  <c r="H796" i="5"/>
  <c r="H739" i="5"/>
  <c r="H707" i="5"/>
  <c r="H720" i="5"/>
  <c r="H654" i="5"/>
  <c r="H656" i="5"/>
  <c r="H658" i="5" s="1"/>
  <c r="H617" i="5"/>
  <c r="H618" i="5" s="1"/>
  <c r="H602" i="5"/>
  <c r="H521" i="5"/>
  <c r="H461" i="5"/>
  <c r="G1850" i="5"/>
  <c r="G1845" i="5"/>
  <c r="G1831" i="5"/>
  <c r="G1819" i="5"/>
  <c r="G1816" i="5"/>
  <c r="G1853" i="5" s="1"/>
  <c r="G1703" i="5"/>
  <c r="G1704" i="5" s="1"/>
  <c r="G1695" i="5"/>
  <c r="G1696" i="5" s="1"/>
  <c r="G1667" i="5"/>
  <c r="G1668" i="5" s="1"/>
  <c r="G1660" i="5"/>
  <c r="G1661" i="5" s="1"/>
  <c r="G1655" i="5"/>
  <c r="G1656" i="5" s="1"/>
  <c r="G1645" i="5"/>
  <c r="G1646" i="5" s="1"/>
  <c r="G1349" i="5"/>
  <c r="G1350" i="5" s="1"/>
  <c r="G1331" i="5"/>
  <c r="G1332" i="5" s="1"/>
  <c r="G1324" i="5"/>
  <c r="G1325" i="5" s="1"/>
  <c r="G1304" i="5"/>
  <c r="G1303" i="5"/>
  <c r="G1302" i="5"/>
  <c r="G1301" i="5"/>
  <c r="G1300" i="5"/>
  <c r="G1299" i="5"/>
  <c r="G1298" i="5"/>
  <c r="G1297" i="5"/>
  <c r="G1296" i="5"/>
  <c r="G1295" i="5"/>
  <c r="G1294" i="5"/>
  <c r="G1293" i="5"/>
  <c r="G1292" i="5"/>
  <c r="G1261" i="5"/>
  <c r="G1262" i="5" s="1"/>
  <c r="G1246" i="5"/>
  <c r="G1247" i="5" s="1"/>
  <c r="G1239" i="5"/>
  <c r="G1240" i="5" s="1"/>
  <c r="G1278" i="5"/>
  <c r="G1286" i="5" s="1"/>
  <c r="G1283" i="5"/>
  <c r="G1287" i="5" s="1"/>
  <c r="G1223" i="5"/>
  <c r="G1222" i="5"/>
  <c r="G1221" i="5"/>
  <c r="G1220" i="5"/>
  <c r="G1219" i="5"/>
  <c r="G1218" i="5"/>
  <c r="G1217" i="5"/>
  <c r="G1216" i="5"/>
  <c r="G1215" i="5"/>
  <c r="G1214" i="5"/>
  <c r="G1213" i="5"/>
  <c r="G1203" i="5"/>
  <c r="G1204" i="5" s="1"/>
  <c r="G1195" i="5"/>
  <c r="G1196" i="5" s="1"/>
  <c r="G978" i="5"/>
  <c r="H971" i="5" l="1"/>
  <c r="H689" i="5"/>
  <c r="H907" i="5"/>
  <c r="G1205" i="5"/>
  <c r="G1820" i="5"/>
  <c r="H634" i="5"/>
  <c r="H1541" i="5"/>
  <c r="H764" i="5"/>
  <c r="H741" i="5"/>
  <c r="H1568" i="5"/>
  <c r="H1540" i="5" s="1"/>
  <c r="H603" i="5"/>
  <c r="H610" i="5"/>
  <c r="H612" i="5" s="1"/>
  <c r="H798" i="5"/>
  <c r="H1572" i="5"/>
  <c r="H1544" i="5" s="1"/>
  <c r="H815" i="5"/>
  <c r="H1573" i="5"/>
  <c r="H1545" i="5" s="1"/>
  <c r="H1611" i="5"/>
  <c r="H1555" i="5" s="1"/>
  <c r="H1209" i="5"/>
  <c r="G1352" i="5"/>
  <c r="H523" i="5"/>
  <c r="H524" i="5" s="1"/>
  <c r="H1866" i="5" s="1"/>
  <c r="H1539" i="5"/>
  <c r="G1269" i="5"/>
  <c r="G1851" i="5"/>
  <c r="G1265" i="5"/>
  <c r="G1266" i="5" s="1"/>
  <c r="G1353" i="5"/>
  <c r="G1852" i="5"/>
  <c r="G1288" i="5"/>
  <c r="G1854" i="5"/>
  <c r="G1306" i="5"/>
  <c r="G1307" i="5" s="1"/>
  <c r="G1305" i="5"/>
  <c r="G1224" i="5"/>
  <c r="G1225" i="5" s="1"/>
  <c r="G1284" i="5"/>
  <c r="G1062" i="5"/>
  <c r="H1589" i="5" l="1"/>
  <c r="H1619" i="5" s="1"/>
  <c r="H1561" i="5"/>
  <c r="G1354" i="5"/>
  <c r="H1617" i="5"/>
  <c r="H1620" i="5" s="1"/>
  <c r="G1270" i="5"/>
  <c r="G1271" i="5" s="1"/>
  <c r="G1267" i="5"/>
  <c r="G931" i="5"/>
  <c r="G939" i="5" s="1"/>
  <c r="G936" i="5"/>
  <c r="G937" i="5" s="1"/>
  <c r="G940" i="5"/>
  <c r="G914" i="5"/>
  <c r="G771" i="5"/>
  <c r="G779" i="5" s="1"/>
  <c r="G776" i="5"/>
  <c r="G780" i="5" s="1"/>
  <c r="G754" i="5"/>
  <c r="G755" i="5" s="1"/>
  <c r="G759" i="5"/>
  <c r="G763" i="5" s="1"/>
  <c r="G702" i="5"/>
  <c r="G706" i="5" s="1"/>
  <c r="G697" i="5"/>
  <c r="G705" i="5" s="1"/>
  <c r="G622" i="5"/>
  <c r="G624" i="5" s="1"/>
  <c r="G615" i="5"/>
  <c r="G628" i="5" s="1"/>
  <c r="G629" i="5" s="1"/>
  <c r="G633" i="5" s="1"/>
  <c r="F624" i="5"/>
  <c r="G601" i="5"/>
  <c r="G600" i="5"/>
  <c r="G599" i="5"/>
  <c r="G598" i="5"/>
  <c r="G606" i="5"/>
  <c r="G607" i="5" s="1"/>
  <c r="G608" i="5" s="1"/>
  <c r="G588" i="5"/>
  <c r="G593" i="5" s="1"/>
  <c r="G594" i="5" s="1"/>
  <c r="H1621" i="5" l="1"/>
  <c r="G781" i="5"/>
  <c r="G617" i="5"/>
  <c r="G618" i="5" s="1"/>
  <c r="G707" i="5"/>
  <c r="G625" i="5"/>
  <c r="G632" i="5"/>
  <c r="G634" i="5" s="1"/>
  <c r="G777" i="5"/>
  <c r="G941" i="5"/>
  <c r="G760" i="5"/>
  <c r="G762" i="5"/>
  <c r="G764" i="5" s="1"/>
  <c r="G630" i="5"/>
  <c r="G602" i="5"/>
  <c r="G603" i="5" s="1"/>
  <c r="G611" i="5"/>
  <c r="G235" i="5"/>
  <c r="G610" i="5" l="1"/>
  <c r="G612" i="5" s="1"/>
  <c r="G517" i="5"/>
  <c r="G508" i="5"/>
  <c r="G415" i="5"/>
  <c r="G432" i="5"/>
  <c r="G489" i="5"/>
  <c r="G490" i="5" s="1"/>
  <c r="G498" i="5"/>
  <c r="G476" i="5"/>
  <c r="G477" i="5" s="1"/>
  <c r="G470" i="5"/>
  <c r="G459" i="5"/>
  <c r="G463" i="5" s="1"/>
  <c r="G465" i="5" s="1"/>
  <c r="G452" i="5"/>
  <c r="G444" i="5"/>
  <c r="G445" i="5" s="1"/>
  <c r="G399" i="5"/>
  <c r="G400" i="5" s="1"/>
  <c r="G384" i="5"/>
  <c r="G373" i="5"/>
  <c r="G1867" i="5"/>
  <c r="G1682" i="5"/>
  <c r="G1683" i="5" s="1"/>
  <c r="G375" i="5" l="1"/>
  <c r="G1865" i="5" s="1"/>
  <c r="G377" i="5"/>
  <c r="G1686" i="5"/>
  <c r="G461" i="5"/>
  <c r="G379" i="5"/>
  <c r="G1499" i="5"/>
  <c r="G1500" i="5" s="1"/>
  <c r="G1515" i="5"/>
  <c r="G1628" i="5" s="1"/>
  <c r="G1523" i="5"/>
  <c r="G1594" i="5"/>
  <c r="G1597" i="5"/>
  <c r="G1598" i="5"/>
  <c r="G1599" i="5"/>
  <c r="G1604" i="5"/>
  <c r="G1612" i="5"/>
  <c r="G1613" i="5"/>
  <c r="G1614" i="5"/>
  <c r="G1566" i="5"/>
  <c r="G1538" i="5" s="1"/>
  <c r="G1569" i="5"/>
  <c r="G1571" i="5"/>
  <c r="G1576" i="5"/>
  <c r="G1584" i="5"/>
  <c r="G1585" i="5"/>
  <c r="G1586" i="5"/>
  <c r="G1773" i="5"/>
  <c r="G1750" i="5"/>
  <c r="G1719" i="5"/>
  <c r="G1720" i="5" s="1"/>
  <c r="G1721" i="5" s="1"/>
  <c r="G986" i="5"/>
  <c r="G1578" i="5" s="1"/>
  <c r="G714" i="5"/>
  <c r="G722" i="5" s="1"/>
  <c r="G1567" i="5" s="1"/>
  <c r="G719" i="5"/>
  <c r="G720" i="5" s="1"/>
  <c r="G1079" i="5"/>
  <c r="G1087" i="5" s="1"/>
  <c r="G1084" i="5"/>
  <c r="G1088" i="5" s="1"/>
  <c r="G1610" i="5" s="1"/>
  <c r="G961" i="5"/>
  <c r="G962" i="5" s="1"/>
  <c r="G954" i="5"/>
  <c r="G955" i="5" s="1"/>
  <c r="G966" i="5"/>
  <c r="G967" i="5" s="1"/>
  <c r="G805" i="5"/>
  <c r="G806" i="5" s="1"/>
  <c r="G1145" i="5"/>
  <c r="G1146" i="5" s="1"/>
  <c r="G1150" i="5"/>
  <c r="G1153" i="5" s="1"/>
  <c r="G1541" i="5" l="1"/>
  <c r="G1557" i="5"/>
  <c r="G1558" i="5"/>
  <c r="G723" i="5"/>
  <c r="G1595" i="5" s="1"/>
  <c r="G1539" i="5" s="1"/>
  <c r="G1543" i="5"/>
  <c r="G1774" i="5"/>
  <c r="G1154" i="5"/>
  <c r="G1207" i="5"/>
  <c r="G1089" i="5"/>
  <c r="G1582" i="5"/>
  <c r="G1554" i="5" s="1"/>
  <c r="G1516" i="5"/>
  <c r="G1506" i="5"/>
  <c r="G969" i="5"/>
  <c r="G1577" i="5" s="1"/>
  <c r="G1085" i="5"/>
  <c r="G1556" i="5"/>
  <c r="G1548" i="5"/>
  <c r="G970" i="5"/>
  <c r="G1605" i="5" s="1"/>
  <c r="G1170" i="5"/>
  <c r="G1178" i="5"/>
  <c r="G1114" i="5" s="1"/>
  <c r="G1180" i="5"/>
  <c r="G1116" i="5" s="1"/>
  <c r="G1093" i="5"/>
  <c r="G1094" i="5"/>
  <c r="G1095" i="5"/>
  <c r="G1096" i="5"/>
  <c r="G1097" i="5"/>
  <c r="G1098" i="5"/>
  <c r="G1099" i="5"/>
  <c r="G1100" i="5"/>
  <c r="G1101" i="5"/>
  <c r="G1102" i="5"/>
  <c r="G1103" i="5"/>
  <c r="G1104" i="5"/>
  <c r="G1105" i="5"/>
  <c r="G1106" i="5"/>
  <c r="G1107" i="5"/>
  <c r="G1108" i="5"/>
  <c r="G1109" i="5"/>
  <c r="G1110" i="5"/>
  <c r="G1111" i="5"/>
  <c r="G1112" i="5"/>
  <c r="G1113" i="5"/>
  <c r="G1115" i="5"/>
  <c r="G747" i="5"/>
  <c r="G731" i="5"/>
  <c r="G739" i="5" s="1"/>
  <c r="G736" i="5"/>
  <c r="G737" i="5" s="1"/>
  <c r="G903" i="5"/>
  <c r="G889" i="5"/>
  <c r="G890" i="5" s="1"/>
  <c r="G877" i="5"/>
  <c r="G1570" i="5" s="1"/>
  <c r="G1542" i="5" s="1"/>
  <c r="G899" i="5"/>
  <c r="G900" i="5" s="1"/>
  <c r="G866" i="5"/>
  <c r="G868" i="5"/>
  <c r="G869" i="5"/>
  <c r="G870" i="5"/>
  <c r="G871" i="5"/>
  <c r="G833" i="5"/>
  <c r="G839" i="5" s="1"/>
  <c r="G840" i="5" s="1"/>
  <c r="G846" i="5"/>
  <c r="G847" i="5" s="1"/>
  <c r="G862" i="5"/>
  <c r="G1602" i="5" s="1"/>
  <c r="G858" i="5"/>
  <c r="G859" i="5" s="1"/>
  <c r="G819" i="5"/>
  <c r="G820" i="5"/>
  <c r="G822" i="5"/>
  <c r="G823" i="5"/>
  <c r="G824" i="5"/>
  <c r="G825" i="5"/>
  <c r="G826" i="5"/>
  <c r="G788" i="5"/>
  <c r="G789" i="5" s="1"/>
  <c r="G793" i="5"/>
  <c r="G794" i="5" s="1"/>
  <c r="G813" i="5"/>
  <c r="G810" i="5"/>
  <c r="G811" i="5" s="1"/>
  <c r="G983" i="5"/>
  <c r="G987" i="5" s="1"/>
  <c r="G1404" i="5"/>
  <c r="G1405" i="5"/>
  <c r="G1406" i="5"/>
  <c r="G1407" i="5"/>
  <c r="G1409" i="5"/>
  <c r="G1381" i="5"/>
  <c r="G1383" i="5" s="1"/>
  <c r="G1370" i="5"/>
  <c r="G1376" i="5" s="1"/>
  <c r="G1377" i="5" s="1"/>
  <c r="G1394" i="5"/>
  <c r="G1395" i="5" s="1"/>
  <c r="G1358" i="5"/>
  <c r="G1360" i="5"/>
  <c r="G1361" i="5"/>
  <c r="G1362" i="5"/>
  <c r="G1363" i="5"/>
  <c r="G1364" i="5"/>
  <c r="G1414" i="5"/>
  <c r="G1403" i="5" s="1"/>
  <c r="G1428" i="5"/>
  <c r="G1429" i="5" s="1"/>
  <c r="G1419" i="5"/>
  <c r="G1408" i="5" s="1"/>
  <c r="G1439" i="5"/>
  <c r="G1440" i="5" s="1"/>
  <c r="G922" i="5"/>
  <c r="G1575" i="5" s="1"/>
  <c r="G923" i="5"/>
  <c r="G1603" i="5" s="1"/>
  <c r="G919" i="5"/>
  <c r="G920" i="5" s="1"/>
  <c r="G1070" i="5"/>
  <c r="G1067" i="5"/>
  <c r="G1068" i="5" s="1"/>
  <c r="G1045" i="5"/>
  <c r="G1053" i="5" s="1"/>
  <c r="G1580" i="5" s="1"/>
  <c r="G1050" i="5"/>
  <c r="G1051" i="5" s="1"/>
  <c r="G1028" i="5"/>
  <c r="G1032" i="5" s="1"/>
  <c r="G1033" i="5" s="1"/>
  <c r="G1017" i="5"/>
  <c r="G1036" i="5" s="1"/>
  <c r="G1579" i="5" s="1"/>
  <c r="G1010" i="5"/>
  <c r="G992" i="5"/>
  <c r="G993" i="5"/>
  <c r="G994" i="5"/>
  <c r="G995" i="5"/>
  <c r="G996" i="5"/>
  <c r="G997" i="5"/>
  <c r="G998" i="5"/>
  <c r="G1531" i="5"/>
  <c r="G1528" i="5"/>
  <c r="G1532" i="5" s="1"/>
  <c r="G558" i="5"/>
  <c r="G522" i="5" s="1"/>
  <c r="G553" i="5"/>
  <c r="G554" i="5" s="1"/>
  <c r="G1490" i="5"/>
  <c r="G1487" i="5"/>
  <c r="G1481" i="5"/>
  <c r="G1626" i="5" s="1"/>
  <c r="G1474" i="5"/>
  <c r="G1475" i="5" s="1"/>
  <c r="G1464" i="5"/>
  <c r="G1459" i="5"/>
  <c r="G1625" i="5" s="1"/>
  <c r="G1452" i="5"/>
  <c r="G1453" i="5" s="1"/>
  <c r="G580" i="5"/>
  <c r="G584" i="5" s="1"/>
  <c r="G575" i="5"/>
  <c r="G576" i="5" s="1"/>
  <c r="G567" i="5"/>
  <c r="G653" i="5"/>
  <c r="G654" i="5" s="1"/>
  <c r="G648" i="5"/>
  <c r="G656" i="5" s="1"/>
  <c r="G684" i="5"/>
  <c r="G685" i="5" s="1"/>
  <c r="G679" i="5"/>
  <c r="G680" i="5" s="1"/>
  <c r="G637" i="5"/>
  <c r="G641" i="5" s="1"/>
  <c r="G642" i="5" s="1"/>
  <c r="G724" i="5" l="1"/>
  <c r="G1359" i="5"/>
  <c r="G1365" i="5" s="1"/>
  <c r="G1366" i="5" s="1"/>
  <c r="G1442" i="5"/>
  <c r="G1588" i="5" s="1"/>
  <c r="G867" i="5"/>
  <c r="G872" i="5" s="1"/>
  <c r="G873" i="5" s="1"/>
  <c r="G1181" i="5"/>
  <c r="G1208" i="5" s="1"/>
  <c r="G861" i="5"/>
  <c r="G1574" i="5" s="1"/>
  <c r="G1546" i="5" s="1"/>
  <c r="G1410" i="5"/>
  <c r="G1411" i="5" s="1"/>
  <c r="G797" i="5"/>
  <c r="G1600" i="5" s="1"/>
  <c r="G568" i="5"/>
  <c r="G583" i="5"/>
  <c r="G585" i="5" s="1"/>
  <c r="G821" i="5"/>
  <c r="G827" i="5" s="1"/>
  <c r="G828" i="5" s="1"/>
  <c r="G581" i="5"/>
  <c r="G559" i="5"/>
  <c r="G924" i="5"/>
  <c r="G1443" i="5"/>
  <c r="G1616" i="5" s="1"/>
  <c r="G1560" i="5" s="1"/>
  <c r="G814" i="5"/>
  <c r="G1601" i="5" s="1"/>
  <c r="G649" i="5"/>
  <c r="G906" i="5"/>
  <c r="G1529" i="5"/>
  <c r="G971" i="5"/>
  <c r="G1583" i="5"/>
  <c r="G657" i="5"/>
  <c r="G658" i="5" s="1"/>
  <c r="G1482" i="5"/>
  <c r="G740" i="5"/>
  <c r="G1596" i="5" s="1"/>
  <c r="G1397" i="5"/>
  <c r="G1384" i="5"/>
  <c r="G687" i="5"/>
  <c r="G1489" i="5"/>
  <c r="G1491" i="5" s="1"/>
  <c r="G688" i="5"/>
  <c r="G1593" i="5" s="1"/>
  <c r="G1533" i="5"/>
  <c r="G1629" i="5" s="1"/>
  <c r="G1054" i="5"/>
  <c r="G1071" i="5"/>
  <c r="G1609" i="5" s="1"/>
  <c r="G1547" i="5"/>
  <c r="G1398" i="5"/>
  <c r="G1615" i="5" s="1"/>
  <c r="G984" i="5"/>
  <c r="G1573" i="5"/>
  <c r="G882" i="5"/>
  <c r="G883" i="5" s="1"/>
  <c r="G732" i="5"/>
  <c r="G1507" i="5"/>
  <c r="G1627" i="5"/>
  <c r="G1460" i="5"/>
  <c r="G1581" i="5"/>
  <c r="G1421" i="5"/>
  <c r="G1422" i="5" s="1"/>
  <c r="G988" i="5"/>
  <c r="G1606" i="5"/>
  <c r="G1550" i="5" s="1"/>
  <c r="G1568" i="5"/>
  <c r="G902" i="5"/>
  <c r="G1549" i="5"/>
  <c r="G1117" i="5"/>
  <c r="G1118" i="5" s="1"/>
  <c r="G796" i="5"/>
  <c r="G999" i="5"/>
  <c r="G1000" i="5" s="1"/>
  <c r="G1029" i="5"/>
  <c r="G1034" i="5"/>
  <c r="G1037" i="5"/>
  <c r="G546" i="5"/>
  <c r="G355" i="5"/>
  <c r="G356" i="5"/>
  <c r="G357" i="5"/>
  <c r="G329" i="5"/>
  <c r="G330" i="5" s="1"/>
  <c r="G322" i="5"/>
  <c r="G321" i="5"/>
  <c r="G320" i="5"/>
  <c r="G319" i="5"/>
  <c r="G318" i="5"/>
  <c r="G317" i="5"/>
  <c r="G316" i="5"/>
  <c r="G315" i="5"/>
  <c r="G314" i="5"/>
  <c r="G313" i="5"/>
  <c r="G312" i="5"/>
  <c r="G311" i="5"/>
  <c r="G310" i="5"/>
  <c r="G309" i="5"/>
  <c r="G308" i="5"/>
  <c r="G307" i="5"/>
  <c r="G306" i="5"/>
  <c r="G297" i="5"/>
  <c r="G281" i="5"/>
  <c r="G215" i="5"/>
  <c r="G209" i="5"/>
  <c r="N175" i="5"/>
  <c r="O175" i="5" s="1"/>
  <c r="N164" i="5"/>
  <c r="O164" i="5" s="1"/>
  <c r="F178" i="5"/>
  <c r="G43" i="5"/>
  <c r="G1858" i="5" s="1"/>
  <c r="G1444" i="5" l="1"/>
  <c r="G1185" i="5"/>
  <c r="G1186" i="5" s="1"/>
  <c r="G1187" i="5" s="1"/>
  <c r="G1182" i="5"/>
  <c r="G1611" i="5"/>
  <c r="G1209" i="5"/>
  <c r="G905" i="5"/>
  <c r="G907" i="5" s="1"/>
  <c r="G741" i="5"/>
  <c r="G1553" i="5"/>
  <c r="G1545" i="5"/>
  <c r="G1540" i="5"/>
  <c r="G815" i="5"/>
  <c r="G1555" i="5"/>
  <c r="G1630" i="5"/>
  <c r="G1038" i="5"/>
  <c r="G1607" i="5"/>
  <c r="G1551" i="5" s="1"/>
  <c r="G344" i="5"/>
  <c r="G346" i="5" s="1"/>
  <c r="G547" i="5"/>
  <c r="G521" i="5"/>
  <c r="G523" i="5" s="1"/>
  <c r="G524" i="5" s="1"/>
  <c r="G1866" i="5" s="1"/>
  <c r="G798" i="5"/>
  <c r="G1572" i="5"/>
  <c r="G1544" i="5" s="1"/>
  <c r="G1072" i="5"/>
  <c r="G1055" i="5"/>
  <c r="G1608" i="5"/>
  <c r="G1552" i="5" s="1"/>
  <c r="G1565" i="5"/>
  <c r="G689" i="5"/>
  <c r="G1399" i="5"/>
  <c r="G1587" i="5"/>
  <c r="G1559" i="5" s="1"/>
  <c r="G17" i="5"/>
  <c r="G16" i="5"/>
  <c r="G15" i="5"/>
  <c r="G12" i="5"/>
  <c r="G1848" i="5" s="1"/>
  <c r="G18" i="5" l="1"/>
  <c r="G1617" i="5"/>
  <c r="G1620" i="5" s="1"/>
  <c r="G1537" i="5"/>
  <c r="G1561" i="5" s="1"/>
  <c r="G1589" i="5"/>
  <c r="G1619" i="5" s="1"/>
  <c r="N1694" i="5"/>
  <c r="O1694" i="5" s="1"/>
  <c r="N1702" i="5"/>
  <c r="O1702" i="5" s="1"/>
  <c r="F1703" i="5"/>
  <c r="F1704" i="5" s="1"/>
  <c r="E1703" i="5"/>
  <c r="E1704" i="5" s="1"/>
  <c r="D1703" i="5"/>
  <c r="D1704" i="5" s="1"/>
  <c r="C1703" i="5"/>
  <c r="C1704" i="5" s="1"/>
  <c r="B1703" i="5"/>
  <c r="N1701" i="5"/>
  <c r="O1701" i="5" s="1"/>
  <c r="N1700" i="5"/>
  <c r="N1699" i="5"/>
  <c r="O1699" i="5" s="1"/>
  <c r="C1695" i="5"/>
  <c r="C1696" i="5" s="1"/>
  <c r="D1695" i="5"/>
  <c r="D1696" i="5" s="1"/>
  <c r="E1695" i="5"/>
  <c r="E1696" i="5" s="1"/>
  <c r="F1695" i="5"/>
  <c r="F1696" i="5" s="1"/>
  <c r="N1693" i="5"/>
  <c r="O1693" i="5" s="1"/>
  <c r="N1692" i="5"/>
  <c r="O1692" i="5" s="1"/>
  <c r="N1691" i="5"/>
  <c r="O1691" i="5" s="1"/>
  <c r="B1695" i="5"/>
  <c r="B1696" i="5" s="1"/>
  <c r="G1621" i="5" l="1"/>
  <c r="O1695" i="5"/>
  <c r="N1695" i="5"/>
  <c r="N1703" i="5"/>
  <c r="O1703" i="5" s="1"/>
  <c r="O1700" i="5"/>
  <c r="B1704" i="5"/>
  <c r="N1704" i="5" s="1"/>
  <c r="O1704" i="5" s="1"/>
  <c r="N1696" i="5"/>
  <c r="O1696" i="5" s="1"/>
  <c r="F1667" i="5"/>
  <c r="F1668" i="5" s="1"/>
  <c r="F1682" i="5" l="1"/>
  <c r="F1683" i="5" s="1"/>
  <c r="F1686" i="5" l="1"/>
  <c r="F1687" i="5"/>
  <c r="F652" i="5"/>
  <c r="F653" i="5" s="1"/>
  <c r="F637" i="5"/>
  <c r="F615" i="5"/>
  <c r="F1845" i="5"/>
  <c r="F1850" i="5"/>
  <c r="F1831" i="5"/>
  <c r="F1819" i="5"/>
  <c r="F1854" i="5" s="1"/>
  <c r="F1816" i="5"/>
  <c r="F1851" i="5" s="1"/>
  <c r="F1774" i="5"/>
  <c r="F1720" i="5"/>
  <c r="F1721" i="5" s="1"/>
  <c r="F1660" i="5"/>
  <c r="F1661" i="5" s="1"/>
  <c r="F1655" i="5"/>
  <c r="F1656" i="5" s="1"/>
  <c r="F1645" i="5"/>
  <c r="F1646" i="5" s="1"/>
  <c r="F1867" i="5" s="1"/>
  <c r="F1598" i="5"/>
  <c r="F1570" i="5"/>
  <c r="F1528" i="5"/>
  <c r="F1532" i="5" s="1"/>
  <c r="F1523" i="5"/>
  <c r="F1531" i="5" s="1"/>
  <c r="F1515" i="5"/>
  <c r="F1516" i="5" s="1"/>
  <c r="F1499" i="5"/>
  <c r="F1500" i="5" s="1"/>
  <c r="F1490" i="5"/>
  <c r="F1487" i="5"/>
  <c r="F1481" i="5"/>
  <c r="F1474" i="5"/>
  <c r="F1475" i="5" s="1"/>
  <c r="F1464" i="5"/>
  <c r="F1459" i="5"/>
  <c r="F1460" i="5" s="1"/>
  <c r="F1452" i="5"/>
  <c r="F1453" i="5" s="1"/>
  <c r="F1439" i="5"/>
  <c r="F1443" i="5" s="1"/>
  <c r="F1616" i="5" s="1"/>
  <c r="F1428" i="5"/>
  <c r="F1429" i="5" s="1"/>
  <c r="F1421" i="5"/>
  <c r="F1422" i="5" s="1"/>
  <c r="F1409" i="5"/>
  <c r="F1408" i="5"/>
  <c r="F1407" i="5"/>
  <c r="F1406" i="5"/>
  <c r="F1405" i="5"/>
  <c r="F1404" i="5"/>
  <c r="F1403" i="5"/>
  <c r="F1394" i="5"/>
  <c r="F1398" i="5" s="1"/>
  <c r="F1615" i="5" s="1"/>
  <c r="F1376" i="5"/>
  <c r="F1377" i="5" s="1"/>
  <c r="F1383" i="5"/>
  <c r="F1384" i="5" s="1"/>
  <c r="F1364" i="5"/>
  <c r="F1363" i="5"/>
  <c r="F1362" i="5"/>
  <c r="F1361" i="5"/>
  <c r="F1360" i="5"/>
  <c r="F1359" i="5"/>
  <c r="F1358" i="5"/>
  <c r="F1349" i="5"/>
  <c r="F1350" i="5" s="1"/>
  <c r="F1331" i="5"/>
  <c r="F1332" i="5" s="1"/>
  <c r="F1324" i="5"/>
  <c r="F1325" i="5" s="1"/>
  <c r="F1292" i="5"/>
  <c r="F1293" i="5"/>
  <c r="F1294" i="5"/>
  <c r="F1295" i="5"/>
  <c r="F1296" i="5"/>
  <c r="F1297" i="5"/>
  <c r="F1298" i="5"/>
  <c r="F1299" i="5"/>
  <c r="F1300" i="5"/>
  <c r="F1301" i="5"/>
  <c r="F1302" i="5"/>
  <c r="F1303" i="5"/>
  <c r="F1304" i="5"/>
  <c r="F1278" i="5"/>
  <c r="F1286" i="5" s="1"/>
  <c r="F1585" i="5" s="1"/>
  <c r="F1283" i="5"/>
  <c r="F1261" i="5"/>
  <c r="F1265" i="5" s="1"/>
  <c r="F1266" i="5" s="1"/>
  <c r="F1213" i="5"/>
  <c r="F1214" i="5"/>
  <c r="F1215" i="5"/>
  <c r="F1216" i="5"/>
  <c r="F1217" i="5"/>
  <c r="F1218" i="5"/>
  <c r="F1219" i="5"/>
  <c r="F1220" i="5"/>
  <c r="F1221" i="5"/>
  <c r="F1222" i="5"/>
  <c r="F1223" i="5"/>
  <c r="F1246" i="5"/>
  <c r="F1247" i="5" s="1"/>
  <c r="F1239" i="5"/>
  <c r="F1240" i="5" s="1"/>
  <c r="F1203" i="5"/>
  <c r="F1195" i="5"/>
  <c r="F1196" i="5" s="1"/>
  <c r="F1181" i="5"/>
  <c r="F1182" i="5" s="1"/>
  <c r="F1542" i="5" l="1"/>
  <c r="F1397" i="5"/>
  <c r="F1587" i="5" s="1"/>
  <c r="F1559" i="5" s="1"/>
  <c r="F1489" i="5"/>
  <c r="F1491" i="5" s="1"/>
  <c r="F1352" i="5"/>
  <c r="F1586" i="5" s="1"/>
  <c r="F1852" i="5"/>
  <c r="F1185" i="5"/>
  <c r="F1186" i="5" s="1"/>
  <c r="F1187" i="5" s="1"/>
  <c r="F1208" i="5"/>
  <c r="F1611" i="5" s="1"/>
  <c r="F1628" i="5"/>
  <c r="F1442" i="5"/>
  <c r="F1588" i="5" s="1"/>
  <c r="F1560" i="5" s="1"/>
  <c r="F1625" i="5"/>
  <c r="F1269" i="5"/>
  <c r="F1584" i="5" s="1"/>
  <c r="F1626" i="5"/>
  <c r="F1820" i="5"/>
  <c r="F1853" i="5"/>
  <c r="F657" i="5"/>
  <c r="F654" i="5"/>
  <c r="F1533" i="5"/>
  <c r="F1629" i="5" s="1"/>
  <c r="F1529" i="5"/>
  <c r="F1506" i="5"/>
  <c r="F1482" i="5"/>
  <c r="F1440" i="5"/>
  <c r="F1410" i="5"/>
  <c r="F1411" i="5" s="1"/>
  <c r="F1395" i="5"/>
  <c r="F1365" i="5"/>
  <c r="F1366" i="5" s="1"/>
  <c r="F1353" i="5"/>
  <c r="F1305" i="5"/>
  <c r="F1306" i="5"/>
  <c r="F1307" i="5" s="1"/>
  <c r="F1287" i="5"/>
  <c r="F1262" i="5"/>
  <c r="F1270" i="5"/>
  <c r="F1267" i="5"/>
  <c r="F1224" i="5"/>
  <c r="F1225" i="5" s="1"/>
  <c r="F1153" i="5"/>
  <c r="F1145" i="5"/>
  <c r="F1146" i="5" s="1"/>
  <c r="F1116" i="5"/>
  <c r="F1115" i="5"/>
  <c r="F1114" i="5"/>
  <c r="F1113" i="5"/>
  <c r="F1112" i="5"/>
  <c r="F1111" i="5"/>
  <c r="F1110" i="5"/>
  <c r="F1109" i="5"/>
  <c r="F1108" i="5"/>
  <c r="F1107" i="5"/>
  <c r="F1106" i="5"/>
  <c r="F1105" i="5"/>
  <c r="F1104" i="5"/>
  <c r="F1103" i="5"/>
  <c r="F1102" i="5"/>
  <c r="F1101" i="5"/>
  <c r="F1100" i="5"/>
  <c r="F1099" i="5"/>
  <c r="F1098" i="5"/>
  <c r="F1097" i="5"/>
  <c r="F1096" i="5"/>
  <c r="F1095" i="5"/>
  <c r="F1094" i="5"/>
  <c r="F1093" i="5"/>
  <c r="F1084" i="5"/>
  <c r="F1088" i="5" s="1"/>
  <c r="F1610" i="5" s="1"/>
  <c r="F1079" i="5"/>
  <c r="F1087" i="5" s="1"/>
  <c r="F1582" i="5" s="1"/>
  <c r="F1067" i="5"/>
  <c r="F1071" i="5" s="1"/>
  <c r="F1609" i="5" s="1"/>
  <c r="F1062" i="5"/>
  <c r="F1070" i="5" s="1"/>
  <c r="F1581" i="5" s="1"/>
  <c r="F1050" i="5"/>
  <c r="F1054" i="5" s="1"/>
  <c r="F1045" i="5"/>
  <c r="F1053" i="5" s="1"/>
  <c r="F1580" i="5" s="1"/>
  <c r="F1028" i="5"/>
  <c r="F1032" i="5" s="1"/>
  <c r="F1033" i="5" s="1"/>
  <c r="F1017" i="5"/>
  <c r="F1036" i="5" s="1"/>
  <c r="F1579" i="5" s="1"/>
  <c r="F1010" i="5"/>
  <c r="F998" i="5"/>
  <c r="F997" i="5"/>
  <c r="F996" i="5"/>
  <c r="F995" i="5"/>
  <c r="F994" i="5"/>
  <c r="F993" i="5"/>
  <c r="F992" i="5"/>
  <c r="F983" i="5"/>
  <c r="F987" i="5" s="1"/>
  <c r="F1606" i="5" s="1"/>
  <c r="F978" i="5"/>
  <c r="F986" i="5" s="1"/>
  <c r="F1553" i="5" l="1"/>
  <c r="F1399" i="5"/>
  <c r="F1444" i="5"/>
  <c r="F1554" i="5"/>
  <c r="F988" i="5"/>
  <c r="F1578" i="5"/>
  <c r="F1550" i="5" s="1"/>
  <c r="F1288" i="5"/>
  <c r="F1613" i="5"/>
  <c r="F1557" i="5" s="1"/>
  <c r="F1271" i="5"/>
  <c r="F1612" i="5"/>
  <c r="F1556" i="5" s="1"/>
  <c r="F1055" i="5"/>
  <c r="F1608" i="5"/>
  <c r="F1552" i="5" s="1"/>
  <c r="F1154" i="5"/>
  <c r="F1207" i="5"/>
  <c r="F1354" i="5"/>
  <c r="F1614" i="5"/>
  <c r="F1558" i="5" s="1"/>
  <c r="F1507" i="5"/>
  <c r="F1627" i="5"/>
  <c r="F1630" i="5" s="1"/>
  <c r="F1117" i="5"/>
  <c r="F1118" i="5" s="1"/>
  <c r="F1085" i="5"/>
  <c r="F1089" i="5"/>
  <c r="F1072" i="5"/>
  <c r="F1068" i="5"/>
  <c r="F1051" i="5"/>
  <c r="F999" i="5"/>
  <c r="F1000" i="5" s="1"/>
  <c r="F1037" i="5"/>
  <c r="F1607" i="5" s="1"/>
  <c r="F1551" i="5" s="1"/>
  <c r="F1034" i="5"/>
  <c r="F1029" i="5"/>
  <c r="F984" i="5"/>
  <c r="F966" i="5"/>
  <c r="F970" i="5" s="1"/>
  <c r="F1605" i="5" s="1"/>
  <c r="F961" i="5"/>
  <c r="F962" i="5" s="1"/>
  <c r="F954" i="5"/>
  <c r="F955" i="5" s="1"/>
  <c r="F940" i="5"/>
  <c r="F1604" i="5" s="1"/>
  <c r="F936" i="5"/>
  <c r="F931" i="5"/>
  <c r="F939" i="5" s="1"/>
  <c r="F941" i="5" l="1"/>
  <c r="F1576" i="5"/>
  <c r="F1548" i="5" s="1"/>
  <c r="F969" i="5"/>
  <c r="F1577" i="5" s="1"/>
  <c r="F1549" i="5" s="1"/>
  <c r="F1038" i="5"/>
  <c r="F1209" i="5"/>
  <c r="F1583" i="5"/>
  <c r="F1555" i="5" s="1"/>
  <c r="F967" i="5"/>
  <c r="F923" i="5"/>
  <c r="F1603" i="5" s="1"/>
  <c r="F919" i="5"/>
  <c r="F920" i="5" s="1"/>
  <c r="F914" i="5"/>
  <c r="F922" i="5" s="1"/>
  <c r="F899" i="5"/>
  <c r="F900" i="5" s="1"/>
  <c r="F902" i="5"/>
  <c r="F903" i="5"/>
  <c r="F889" i="5"/>
  <c r="F890" i="5" s="1"/>
  <c r="F882" i="5"/>
  <c r="F883" i="5" s="1"/>
  <c r="F866" i="5"/>
  <c r="F867" i="5"/>
  <c r="F868" i="5"/>
  <c r="F869" i="5"/>
  <c r="F870" i="5"/>
  <c r="F871" i="5"/>
  <c r="F862" i="5"/>
  <c r="F1602" i="5" s="1"/>
  <c r="F861" i="5"/>
  <c r="F1574" i="5" s="1"/>
  <c r="F858" i="5"/>
  <c r="F859" i="5" s="1"/>
  <c r="F846" i="5"/>
  <c r="F847" i="5" s="1"/>
  <c r="F839" i="5"/>
  <c r="F840" i="5" s="1"/>
  <c r="F826" i="5"/>
  <c r="F825" i="5"/>
  <c r="F824" i="5"/>
  <c r="F823" i="5"/>
  <c r="F822" i="5"/>
  <c r="F821" i="5"/>
  <c r="F820" i="5"/>
  <c r="F819" i="5"/>
  <c r="F810" i="5"/>
  <c r="F814" i="5" s="1"/>
  <c r="F1601" i="5" s="1"/>
  <c r="F805" i="5"/>
  <c r="F806" i="5" s="1"/>
  <c r="F793" i="5"/>
  <c r="F797" i="5" s="1"/>
  <c r="F1600" i="5" s="1"/>
  <c r="F788" i="5"/>
  <c r="F789" i="5" s="1"/>
  <c r="F776" i="5"/>
  <c r="F780" i="5" s="1"/>
  <c r="F1599" i="5" s="1"/>
  <c r="F771" i="5"/>
  <c r="F779" i="5" s="1"/>
  <c r="F1571" i="5" s="1"/>
  <c r="F759" i="5"/>
  <c r="F763" i="5" s="1"/>
  <c r="F1597" i="5" s="1"/>
  <c r="F754" i="5"/>
  <c r="F747" i="5"/>
  <c r="F736" i="5"/>
  <c r="F740" i="5" s="1"/>
  <c r="F1596" i="5" s="1"/>
  <c r="F731" i="5"/>
  <c r="F719" i="5"/>
  <c r="F723" i="5" s="1"/>
  <c r="F1595" i="5" s="1"/>
  <c r="F714" i="5"/>
  <c r="F722" i="5" s="1"/>
  <c r="F1567" i="5" s="1"/>
  <c r="F702" i="5"/>
  <c r="F706" i="5" s="1"/>
  <c r="F1594" i="5" s="1"/>
  <c r="F697" i="5"/>
  <c r="F705" i="5" s="1"/>
  <c r="F684" i="5"/>
  <c r="F688" i="5" s="1"/>
  <c r="F1593" i="5" s="1"/>
  <c r="F679" i="5"/>
  <c r="F680" i="5" s="1"/>
  <c r="F648" i="5"/>
  <c r="F641" i="5"/>
  <c r="F642" i="5" s="1"/>
  <c r="F628" i="5"/>
  <c r="F629" i="5" s="1"/>
  <c r="F625" i="5"/>
  <c r="F617" i="5"/>
  <c r="F618" i="5" s="1"/>
  <c r="F606" i="5"/>
  <c r="F607" i="5" s="1"/>
  <c r="F611" i="5" s="1"/>
  <c r="F602" i="5"/>
  <c r="F603" i="5" s="1"/>
  <c r="F588" i="5"/>
  <c r="F593" i="5" s="1"/>
  <c r="F594" i="5" s="1"/>
  <c r="F971" i="5" l="1"/>
  <c r="F1539" i="5"/>
  <c r="F1546" i="5"/>
  <c r="F1543" i="5"/>
  <c r="F737" i="5"/>
  <c r="F924" i="5"/>
  <c r="F1575" i="5"/>
  <c r="F1547" i="5" s="1"/>
  <c r="F707" i="5"/>
  <c r="F1566" i="5"/>
  <c r="F1538" i="5" s="1"/>
  <c r="F906" i="5"/>
  <c r="F649" i="5"/>
  <c r="F656" i="5"/>
  <c r="F658" i="5" s="1"/>
  <c r="F905" i="5"/>
  <c r="F1617" i="5"/>
  <c r="F1620" i="5" s="1"/>
  <c r="F760" i="5"/>
  <c r="F632" i="5"/>
  <c r="F872" i="5"/>
  <c r="F873" i="5" s="1"/>
  <c r="F827" i="5"/>
  <c r="F828" i="5" s="1"/>
  <c r="F811" i="5"/>
  <c r="F813" i="5"/>
  <c r="F794" i="5"/>
  <c r="F796" i="5"/>
  <c r="F781" i="5"/>
  <c r="F762" i="5"/>
  <c r="F739" i="5"/>
  <c r="F724" i="5"/>
  <c r="F720" i="5"/>
  <c r="F685" i="5"/>
  <c r="F687" i="5"/>
  <c r="F633" i="5"/>
  <c r="F630" i="5"/>
  <c r="F608" i="5"/>
  <c r="F610" i="5"/>
  <c r="F612" i="5" s="1"/>
  <c r="F580" i="5"/>
  <c r="F584" i="5" s="1"/>
  <c r="F575" i="5"/>
  <c r="F576" i="5" s="1"/>
  <c r="F567" i="5"/>
  <c r="F558" i="5"/>
  <c r="F559" i="5" s="1"/>
  <c r="F553" i="5"/>
  <c r="F554" i="5" s="1"/>
  <c r="F546" i="5"/>
  <c r="F547" i="5" s="1"/>
  <c r="F517" i="5"/>
  <c r="F508" i="5"/>
  <c r="F498" i="5"/>
  <c r="F489" i="5"/>
  <c r="F490" i="5" s="1"/>
  <c r="F476" i="5"/>
  <c r="F477" i="5" s="1"/>
  <c r="F470" i="5"/>
  <c r="F459" i="5"/>
  <c r="F463" i="5" s="1"/>
  <c r="F465" i="5" s="1"/>
  <c r="F452" i="5"/>
  <c r="F444" i="5"/>
  <c r="F445" i="5" s="1"/>
  <c r="F432" i="5"/>
  <c r="F415" i="5"/>
  <c r="F399" i="5"/>
  <c r="F400" i="5" s="1"/>
  <c r="F384" i="5"/>
  <c r="F373" i="5"/>
  <c r="F377" i="5" s="1"/>
  <c r="F907" i="5" l="1"/>
  <c r="F568" i="5"/>
  <c r="F583" i="5"/>
  <c r="F585" i="5" s="1"/>
  <c r="F764" i="5"/>
  <c r="F1569" i="5"/>
  <c r="F1541" i="5" s="1"/>
  <c r="F815" i="5"/>
  <c r="F1573" i="5"/>
  <c r="F1545" i="5" s="1"/>
  <c r="F634" i="5"/>
  <c r="F689" i="5"/>
  <c r="F1565" i="5"/>
  <c r="F798" i="5"/>
  <c r="F1572" i="5"/>
  <c r="F1544" i="5" s="1"/>
  <c r="F522" i="5"/>
  <c r="F741" i="5"/>
  <c r="F1568" i="5"/>
  <c r="F1540" i="5" s="1"/>
  <c r="F581" i="5"/>
  <c r="F521" i="5"/>
  <c r="F461" i="5"/>
  <c r="F375" i="5"/>
  <c r="F357" i="5"/>
  <c r="F356" i="5"/>
  <c r="F355" i="5"/>
  <c r="F329" i="5"/>
  <c r="F330" i="5" s="1"/>
  <c r="F322" i="5"/>
  <c r="F321" i="5"/>
  <c r="F320" i="5"/>
  <c r="F319" i="5"/>
  <c r="F318" i="5"/>
  <c r="F317" i="5"/>
  <c r="F316" i="5"/>
  <c r="F315" i="5"/>
  <c r="F314" i="5"/>
  <c r="F313" i="5"/>
  <c r="F312" i="5"/>
  <c r="F311" i="5"/>
  <c r="F310" i="5"/>
  <c r="F309" i="5"/>
  <c r="F308" i="5"/>
  <c r="F307" i="5"/>
  <c r="F306" i="5"/>
  <c r="F215" i="5"/>
  <c r="N160" i="5"/>
  <c r="O160" i="5" s="1"/>
  <c r="F68" i="5"/>
  <c r="F43" i="5"/>
  <c r="F1858" i="5" s="1"/>
  <c r="F17" i="5"/>
  <c r="F16" i="5"/>
  <c r="F15" i="5"/>
  <c r="F12" i="5"/>
  <c r="F1848" i="5" s="1"/>
  <c r="F523" i="5" l="1"/>
  <c r="F524" i="5" s="1"/>
  <c r="F1866" i="5" s="1"/>
  <c r="F323" i="5"/>
  <c r="F18" i="5"/>
  <c r="F1537" i="5"/>
  <c r="F1561" i="5" s="1"/>
  <c r="F1589" i="5"/>
  <c r="F1619" i="5" s="1"/>
  <c r="F1621" i="5" s="1"/>
  <c r="F379" i="5"/>
  <c r="F1865" i="5"/>
  <c r="B329" i="5"/>
  <c r="C329" i="5"/>
  <c r="D329" i="5"/>
  <c r="E329" i="5"/>
  <c r="E1667" i="5" l="1"/>
  <c r="E1668" i="5" s="1"/>
  <c r="E1660" i="5"/>
  <c r="E1661" i="5" s="1"/>
  <c r="E1655" i="5"/>
  <c r="E1656" i="5" s="1"/>
  <c r="E1645" i="5"/>
  <c r="E1646" i="5" s="1"/>
  <c r="D1645" i="5"/>
  <c r="E624" i="5"/>
  <c r="E625" i="5" s="1"/>
  <c r="E615" i="5"/>
  <c r="E617" i="5" s="1"/>
  <c r="E618" i="5" s="1"/>
  <c r="E628" i="5" l="1"/>
  <c r="E629" i="5" s="1"/>
  <c r="E633" i="5" s="1"/>
  <c r="E632" i="5"/>
  <c r="E630" i="5" l="1"/>
  <c r="E634" i="5"/>
  <c r="E652" i="5"/>
  <c r="E653" i="5" s="1"/>
  <c r="E648" i="5"/>
  <c r="E656" i="5" s="1"/>
  <c r="E637" i="5"/>
  <c r="E641" i="5" s="1"/>
  <c r="E642" i="5" s="1"/>
  <c r="E606" i="5"/>
  <c r="E607" i="5" s="1"/>
  <c r="E588" i="5"/>
  <c r="E657" i="5" l="1"/>
  <c r="E658" i="5" s="1"/>
  <c r="E654" i="5"/>
  <c r="E649" i="5"/>
  <c r="E611" i="5"/>
  <c r="E608" i="5"/>
  <c r="E1867" i="5"/>
  <c r="E1850" i="5"/>
  <c r="E1845" i="5"/>
  <c r="E1831" i="5"/>
  <c r="E1819" i="5"/>
  <c r="E1854" i="5" s="1"/>
  <c r="E1816" i="5"/>
  <c r="E1851" i="5" s="1"/>
  <c r="E1820" i="5" l="1"/>
  <c r="E1852" i="5"/>
  <c r="E1853" i="5"/>
  <c r="E1774" i="5"/>
  <c r="E1720" i="5"/>
  <c r="E1721" i="5" s="1"/>
  <c r="E1682" i="5" l="1"/>
  <c r="E1683" i="5" l="1"/>
  <c r="E1686" i="5"/>
  <c r="E1687" i="5"/>
  <c r="E1868" i="5" s="1"/>
  <c r="E1570" i="5"/>
  <c r="E1598" i="5"/>
  <c r="E1528" i="5"/>
  <c r="E1532" i="5" s="1"/>
  <c r="E1523" i="5"/>
  <c r="E1531" i="5" s="1"/>
  <c r="E1515" i="5"/>
  <c r="E1516" i="5" s="1"/>
  <c r="E1499" i="5"/>
  <c r="E1500" i="5" s="1"/>
  <c r="E1490" i="5"/>
  <c r="E1487" i="5"/>
  <c r="E1481" i="5"/>
  <c r="E1482" i="5" s="1"/>
  <c r="E1474" i="5"/>
  <c r="E1475" i="5" s="1"/>
  <c r="E1464" i="5"/>
  <c r="E1459" i="5"/>
  <c r="E1460" i="5" s="1"/>
  <c r="E1452" i="5"/>
  <c r="E1453" i="5" s="1"/>
  <c r="E1439" i="5"/>
  <c r="E1443" i="5" s="1"/>
  <c r="E1616" i="5" s="1"/>
  <c r="E1428" i="5"/>
  <c r="E1429" i="5" s="1"/>
  <c r="E1421" i="5"/>
  <c r="E1422" i="5" s="1"/>
  <c r="E1403" i="5"/>
  <c r="E1404" i="5"/>
  <c r="E1405" i="5"/>
  <c r="E1406" i="5"/>
  <c r="E1407" i="5"/>
  <c r="E1408" i="5"/>
  <c r="E1409" i="5"/>
  <c r="E1394" i="5"/>
  <c r="E1398" i="5" s="1"/>
  <c r="E1615" i="5" s="1"/>
  <c r="E1383" i="5"/>
  <c r="E1384" i="5" s="1"/>
  <c r="E1376" i="5"/>
  <c r="E1377" i="5" s="1"/>
  <c r="E1364" i="5"/>
  <c r="E1363" i="5"/>
  <c r="E1362" i="5"/>
  <c r="E1361" i="5"/>
  <c r="E1360" i="5"/>
  <c r="E1359" i="5"/>
  <c r="E1358" i="5"/>
  <c r="E1349" i="5"/>
  <c r="E1350" i="5" s="1"/>
  <c r="E1331" i="5"/>
  <c r="E1332" i="5" s="1"/>
  <c r="E1324" i="5"/>
  <c r="E1325" i="5" s="1"/>
  <c r="E1304" i="5"/>
  <c r="E1303" i="5"/>
  <c r="E1302" i="5"/>
  <c r="E1301" i="5"/>
  <c r="E1300" i="5"/>
  <c r="E1299" i="5"/>
  <c r="E1298" i="5"/>
  <c r="E1297" i="5"/>
  <c r="E1296" i="5"/>
  <c r="E1295" i="5"/>
  <c r="E1294" i="5"/>
  <c r="E1293" i="5"/>
  <c r="E1292" i="5"/>
  <c r="E1283" i="5"/>
  <c r="E1287" i="5" s="1"/>
  <c r="E1613" i="5" s="1"/>
  <c r="E1278" i="5"/>
  <c r="E1286" i="5" s="1"/>
  <c r="E1239" i="5"/>
  <c r="E1240" i="5" s="1"/>
  <c r="E1261" i="5"/>
  <c r="E1265" i="5" s="1"/>
  <c r="E1266" i="5" s="1"/>
  <c r="E1246" i="5"/>
  <c r="E1247" i="5" s="1"/>
  <c r="E1223" i="5"/>
  <c r="E1222" i="5"/>
  <c r="E1221" i="5"/>
  <c r="E1220" i="5"/>
  <c r="E1219" i="5"/>
  <c r="E1218" i="5"/>
  <c r="E1217" i="5"/>
  <c r="E1216" i="5"/>
  <c r="E1215" i="5"/>
  <c r="E1214" i="5"/>
  <c r="E1213" i="5"/>
  <c r="E1195" i="5"/>
  <c r="E1196" i="5" s="1"/>
  <c r="E1145" i="5"/>
  <c r="E1146" i="5" s="1"/>
  <c r="E1203" i="5"/>
  <c r="E1181" i="5"/>
  <c r="E1182" i="5" s="1"/>
  <c r="E1153" i="5"/>
  <c r="E1154" i="5" s="1"/>
  <c r="E1116" i="5"/>
  <c r="E1115" i="5"/>
  <c r="E1114" i="5"/>
  <c r="E1113" i="5"/>
  <c r="E1112" i="5"/>
  <c r="E1111" i="5"/>
  <c r="E1110" i="5"/>
  <c r="E1109" i="5"/>
  <c r="E1108" i="5"/>
  <c r="E1107" i="5"/>
  <c r="E1106" i="5"/>
  <c r="E1105" i="5"/>
  <c r="E1104" i="5"/>
  <c r="E1103" i="5"/>
  <c r="E1102" i="5"/>
  <c r="E1101" i="5"/>
  <c r="E1100" i="5"/>
  <c r="E1099" i="5"/>
  <c r="E1098" i="5"/>
  <c r="E1097" i="5"/>
  <c r="E1096" i="5"/>
  <c r="E1095" i="5"/>
  <c r="E1094" i="5"/>
  <c r="E1093" i="5"/>
  <c r="E1084" i="5"/>
  <c r="E1088" i="5" s="1"/>
  <c r="E1610" i="5" s="1"/>
  <c r="E1079" i="5"/>
  <c r="E1087" i="5" s="1"/>
  <c r="E1582" i="5" s="1"/>
  <c r="E1067" i="5"/>
  <c r="E1071" i="5" s="1"/>
  <c r="E1609" i="5" s="1"/>
  <c r="E1062" i="5"/>
  <c r="E1070" i="5" s="1"/>
  <c r="E1050" i="5"/>
  <c r="E1054" i="5" s="1"/>
  <c r="E1608" i="5" s="1"/>
  <c r="E1045" i="5"/>
  <c r="E1053" i="5" s="1"/>
  <c r="E1580" i="5" s="1"/>
  <c r="E1028" i="5"/>
  <c r="E1029" i="5" s="1"/>
  <c r="E1017" i="5"/>
  <c r="E1036" i="5" s="1"/>
  <c r="E1010" i="5"/>
  <c r="E998" i="5"/>
  <c r="E997" i="5"/>
  <c r="E996" i="5"/>
  <c r="E995" i="5"/>
  <c r="E994" i="5"/>
  <c r="E993" i="5"/>
  <c r="E992" i="5"/>
  <c r="E983" i="5"/>
  <c r="E987" i="5" s="1"/>
  <c r="E1606" i="5" s="1"/>
  <c r="E978" i="5"/>
  <c r="E986" i="5" s="1"/>
  <c r="E1578" i="5" s="1"/>
  <c r="E966" i="5"/>
  <c r="E967" i="5" s="1"/>
  <c r="E961" i="5"/>
  <c r="E962" i="5" s="1"/>
  <c r="E954" i="5"/>
  <c r="E955" i="5" s="1"/>
  <c r="E940" i="5"/>
  <c r="E1604" i="5" s="1"/>
  <c r="E936" i="5"/>
  <c r="E931" i="5"/>
  <c r="E939" i="5" s="1"/>
  <c r="E1576" i="5" s="1"/>
  <c r="E923" i="5"/>
  <c r="E1603" i="5" s="1"/>
  <c r="E919" i="5"/>
  <c r="E920" i="5" s="1"/>
  <c r="E914" i="5"/>
  <c r="E922" i="5" s="1"/>
  <c r="E1575" i="5" s="1"/>
  <c r="E903" i="5"/>
  <c r="E902" i="5"/>
  <c r="E899" i="5"/>
  <c r="E900" i="5" s="1"/>
  <c r="E889" i="5"/>
  <c r="E890" i="5" s="1"/>
  <c r="E882" i="5"/>
  <c r="E883" i="5" s="1"/>
  <c r="E866" i="5"/>
  <c r="E867" i="5"/>
  <c r="E868" i="5"/>
  <c r="E869" i="5"/>
  <c r="E870" i="5"/>
  <c r="E871" i="5"/>
  <c r="E862" i="5"/>
  <c r="E1602" i="5" s="1"/>
  <c r="E861" i="5"/>
  <c r="E1574" i="5" s="1"/>
  <c r="E858" i="5"/>
  <c r="E859" i="5" s="1"/>
  <c r="E846" i="5"/>
  <c r="E847" i="5" s="1"/>
  <c r="E839" i="5"/>
  <c r="E840" i="5" s="1"/>
  <c r="E826" i="5"/>
  <c r="E825" i="5"/>
  <c r="E824" i="5"/>
  <c r="E823" i="5"/>
  <c r="E822" i="5"/>
  <c r="E821" i="5"/>
  <c r="E820" i="5"/>
  <c r="E819" i="5"/>
  <c r="E810" i="5"/>
  <c r="E814" i="5" s="1"/>
  <c r="E1601" i="5" s="1"/>
  <c r="E805" i="5"/>
  <c r="E806" i="5" s="1"/>
  <c r="E793" i="5"/>
  <c r="E794" i="5" s="1"/>
  <c r="E788" i="5"/>
  <c r="E796" i="5" s="1"/>
  <c r="E1572" i="5" s="1"/>
  <c r="E776" i="5"/>
  <c r="E780" i="5" s="1"/>
  <c r="E1599" i="5" s="1"/>
  <c r="E771" i="5"/>
  <c r="E779" i="5" s="1"/>
  <c r="E1571" i="5" s="1"/>
  <c r="E759" i="5"/>
  <c r="E763" i="5" s="1"/>
  <c r="E1597" i="5" s="1"/>
  <c r="E754" i="5"/>
  <c r="E755" i="5" s="1"/>
  <c r="E747" i="5"/>
  <c r="E736" i="5"/>
  <c r="E740" i="5" s="1"/>
  <c r="E1596" i="5" s="1"/>
  <c r="E731" i="5"/>
  <c r="E732" i="5" s="1"/>
  <c r="E719" i="5"/>
  <c r="E723" i="5" s="1"/>
  <c r="E1595" i="5" s="1"/>
  <c r="E714" i="5"/>
  <c r="E722" i="5" s="1"/>
  <c r="E1567" i="5" s="1"/>
  <c r="E702" i="5"/>
  <c r="E697" i="5"/>
  <c r="E705" i="5" s="1"/>
  <c r="E679" i="5"/>
  <c r="E680" i="5" s="1"/>
  <c r="E684" i="5"/>
  <c r="E688" i="5" s="1"/>
  <c r="E1593" i="5" s="1"/>
  <c r="E687" i="5" l="1"/>
  <c r="E1565" i="5" s="1"/>
  <c r="E1537" i="5" s="1"/>
  <c r="E1552" i="5"/>
  <c r="E1554" i="5"/>
  <c r="E1506" i="5"/>
  <c r="E1627" i="5" s="1"/>
  <c r="E1353" i="5"/>
  <c r="E1614" i="5" s="1"/>
  <c r="E1628" i="5"/>
  <c r="E706" i="5"/>
  <c r="E1594" i="5" s="1"/>
  <c r="E797" i="5"/>
  <c r="E1600" i="5" s="1"/>
  <c r="E1544" i="5" s="1"/>
  <c r="E969" i="5"/>
  <c r="E1577" i="5" s="1"/>
  <c r="E1288" i="5"/>
  <c r="E1546" i="5"/>
  <c r="E1547" i="5"/>
  <c r="E1550" i="5"/>
  <c r="E1543" i="5"/>
  <c r="E1579" i="5"/>
  <c r="E1548" i="5"/>
  <c r="E905" i="5"/>
  <c r="E1440" i="5"/>
  <c r="E1489" i="5"/>
  <c r="E1491" i="5" s="1"/>
  <c r="E813" i="5"/>
  <c r="E1573" i="5" s="1"/>
  <c r="E1545" i="5" s="1"/>
  <c r="E906" i="5"/>
  <c r="E941" i="5"/>
  <c r="E1032" i="5"/>
  <c r="E1033" i="5" s="1"/>
  <c r="E1037" i="5" s="1"/>
  <c r="E1607" i="5" s="1"/>
  <c r="E1352" i="5"/>
  <c r="E1397" i="5"/>
  <c r="E1587" i="5" s="1"/>
  <c r="E1559" i="5" s="1"/>
  <c r="E1442" i="5"/>
  <c r="E1626" i="5"/>
  <c r="E1542" i="5"/>
  <c r="E1566" i="5"/>
  <c r="E1072" i="5"/>
  <c r="E1185" i="5"/>
  <c r="E1186" i="5" s="1"/>
  <c r="E1187" i="5" s="1"/>
  <c r="E1625" i="5"/>
  <c r="E1585" i="5"/>
  <c r="E1557" i="5" s="1"/>
  <c r="E1581" i="5"/>
  <c r="E1553" i="5" s="1"/>
  <c r="E1539" i="5"/>
  <c r="E1533" i="5"/>
  <c r="E1629" i="5" s="1"/>
  <c r="E1529" i="5"/>
  <c r="E1410" i="5"/>
  <c r="E1411" i="5" s="1"/>
  <c r="E1395" i="5"/>
  <c r="E1365" i="5"/>
  <c r="E1366" i="5" s="1"/>
  <c r="E1305" i="5"/>
  <c r="E1306" i="5"/>
  <c r="E1307" i="5" s="1"/>
  <c r="E1269" i="5"/>
  <c r="E1584" i="5" s="1"/>
  <c r="E1224" i="5"/>
  <c r="E1225" i="5" s="1"/>
  <c r="E1270" i="5"/>
  <c r="E1612" i="5" s="1"/>
  <c r="E1267" i="5"/>
  <c r="E1262" i="5"/>
  <c r="E1208" i="5"/>
  <c r="E1611" i="5" s="1"/>
  <c r="E1117" i="5"/>
  <c r="E1118" i="5" s="1"/>
  <c r="E1207" i="5"/>
  <c r="E1583" i="5" s="1"/>
  <c r="E1089" i="5"/>
  <c r="E1068" i="5"/>
  <c r="E1055" i="5"/>
  <c r="E1051" i="5"/>
  <c r="E999" i="5"/>
  <c r="E1000" i="5" s="1"/>
  <c r="E984" i="5"/>
  <c r="E988" i="5"/>
  <c r="E970" i="5"/>
  <c r="E924" i="5"/>
  <c r="E872" i="5"/>
  <c r="E873" i="5" s="1"/>
  <c r="E827" i="5"/>
  <c r="E828" i="5" s="1"/>
  <c r="E811" i="5"/>
  <c r="E789" i="5"/>
  <c r="E781" i="5"/>
  <c r="E762" i="5"/>
  <c r="E760" i="5"/>
  <c r="E737" i="5"/>
  <c r="E739" i="5"/>
  <c r="E724" i="5"/>
  <c r="E720" i="5"/>
  <c r="E685" i="5"/>
  <c r="E602" i="5"/>
  <c r="E593" i="5"/>
  <c r="E594" i="5" s="1"/>
  <c r="E580" i="5"/>
  <c r="E584" i="5" s="1"/>
  <c r="E575" i="5"/>
  <c r="E576" i="5" s="1"/>
  <c r="E567" i="5"/>
  <c r="E558" i="5"/>
  <c r="E559" i="5" s="1"/>
  <c r="E553" i="5"/>
  <c r="E554" i="5" s="1"/>
  <c r="E546" i="5"/>
  <c r="E547" i="5" s="1"/>
  <c r="E517" i="5"/>
  <c r="E508" i="5"/>
  <c r="E498" i="5"/>
  <c r="E489" i="5"/>
  <c r="E490" i="5" s="1"/>
  <c r="E476" i="5"/>
  <c r="E477" i="5" s="1"/>
  <c r="E470" i="5"/>
  <c r="E459" i="5"/>
  <c r="E461" i="5" s="1"/>
  <c r="E452" i="5"/>
  <c r="E444" i="5"/>
  <c r="E445" i="5" s="1"/>
  <c r="E432" i="5"/>
  <c r="E415" i="5"/>
  <c r="E399" i="5"/>
  <c r="E400" i="5" s="1"/>
  <c r="E384" i="5"/>
  <c r="E373" i="5"/>
  <c r="E377" i="5" s="1"/>
  <c r="E1507" i="5" l="1"/>
  <c r="E568" i="5"/>
  <c r="E583" i="5"/>
  <c r="E585" i="5" s="1"/>
  <c r="E815" i="5"/>
  <c r="E689" i="5"/>
  <c r="E907" i="5"/>
  <c r="E1034" i="5"/>
  <c r="E1538" i="5"/>
  <c r="E798" i="5"/>
  <c r="E1399" i="5"/>
  <c r="E1630" i="5"/>
  <c r="E707" i="5"/>
  <c r="E971" i="5"/>
  <c r="E1605" i="5"/>
  <c r="E1354" i="5"/>
  <c r="E1586" i="5"/>
  <c r="E1558" i="5" s="1"/>
  <c r="E1038" i="5"/>
  <c r="E603" i="5"/>
  <c r="E610" i="5"/>
  <c r="E612" i="5" s="1"/>
  <c r="E764" i="5"/>
  <c r="E1569" i="5"/>
  <c r="E1541" i="5" s="1"/>
  <c r="E741" i="5"/>
  <c r="E1568" i="5"/>
  <c r="E1540" i="5" s="1"/>
  <c r="E1555" i="5"/>
  <c r="E1271" i="5"/>
  <c r="E1556" i="5"/>
  <c r="E1444" i="5"/>
  <c r="E1588" i="5"/>
  <c r="E1560" i="5" s="1"/>
  <c r="E463" i="5"/>
  <c r="E465" i="5" s="1"/>
  <c r="E1551" i="5"/>
  <c r="E1209" i="5"/>
  <c r="E581" i="5"/>
  <c r="E522" i="5"/>
  <c r="E521" i="5"/>
  <c r="E375" i="5"/>
  <c r="E523" i="5" l="1"/>
  <c r="E524" i="5" s="1"/>
  <c r="E1866" i="5" s="1"/>
  <c r="E379" i="5"/>
  <c r="E1865" i="5"/>
  <c r="E1589" i="5"/>
  <c r="E1619" i="5" s="1"/>
  <c r="E1617" i="5"/>
  <c r="E1620" i="5" s="1"/>
  <c r="E1549" i="5"/>
  <c r="E1561" i="5" s="1"/>
  <c r="E1621" i="5" l="1"/>
  <c r="E357" i="5"/>
  <c r="E356" i="5"/>
  <c r="E355" i="5"/>
  <c r="E351" i="5"/>
  <c r="E350" i="5"/>
  <c r="E349" i="5"/>
  <c r="E330" i="5"/>
  <c r="E322" i="5"/>
  <c r="E321" i="5"/>
  <c r="E320" i="5"/>
  <c r="E319" i="5"/>
  <c r="E318" i="5"/>
  <c r="E317" i="5"/>
  <c r="E316" i="5"/>
  <c r="E315" i="5"/>
  <c r="E314" i="5"/>
  <c r="E313" i="5"/>
  <c r="E312" i="5"/>
  <c r="E311" i="5"/>
  <c r="E310" i="5"/>
  <c r="E309" i="5"/>
  <c r="E308" i="5"/>
  <c r="E307" i="5"/>
  <c r="E306" i="5"/>
  <c r="E303" i="5"/>
  <c r="E291" i="5"/>
  <c r="E281" i="5"/>
  <c r="E209" i="5"/>
  <c r="E178" i="5"/>
  <c r="N177" i="5"/>
  <c r="O177" i="5" s="1"/>
  <c r="N148" i="5"/>
  <c r="O148" i="5" s="1"/>
  <c r="N146" i="5"/>
  <c r="O146" i="5" s="1"/>
  <c r="N122" i="5"/>
  <c r="O122" i="5" s="1"/>
  <c r="N92" i="5"/>
  <c r="O92" i="5" s="1"/>
  <c r="N86" i="5"/>
  <c r="O86" i="5" s="1"/>
  <c r="E75" i="5"/>
  <c r="E17" i="5"/>
  <c r="E16" i="5"/>
  <c r="E15" i="5"/>
  <c r="E12" i="5"/>
  <c r="E1848" i="5" s="1"/>
  <c r="E18" i="5" l="1"/>
  <c r="E352" i="5"/>
  <c r="E1861" i="5" s="1"/>
  <c r="E323" i="5"/>
  <c r="D940" i="5"/>
  <c r="D936" i="5"/>
  <c r="D937" i="5" s="1"/>
  <c r="D931" i="5"/>
  <c r="D939" i="5" s="1"/>
  <c r="D941" i="5" l="1"/>
  <c r="D1831" i="5" l="1"/>
  <c r="D1843" i="5" s="1"/>
  <c r="D1850" i="5" l="1"/>
  <c r="D1845" i="5"/>
  <c r="D1774" i="5"/>
  <c r="D1816" i="5"/>
  <c r="D1819" i="5"/>
  <c r="D1854" i="5" s="1"/>
  <c r="D1720" i="5"/>
  <c r="D1721" i="5" s="1"/>
  <c r="D1820" i="5" l="1"/>
  <c r="D1853" i="5"/>
  <c r="D1851" i="5"/>
  <c r="D1852" i="5"/>
  <c r="D1682" i="5"/>
  <c r="D1687" i="5" s="1"/>
  <c r="D1868" i="5" s="1"/>
  <c r="D1683" i="5" l="1"/>
  <c r="D1686" i="5"/>
  <c r="D1667" i="5"/>
  <c r="D1668" i="5" s="1"/>
  <c r="D1660" i="5"/>
  <c r="D1661" i="5" s="1"/>
  <c r="D1655" i="5"/>
  <c r="D1656" i="5" s="1"/>
  <c r="D1646" i="5"/>
  <c r="D1867" i="5" s="1"/>
  <c r="D1570" i="5"/>
  <c r="D1576" i="5"/>
  <c r="D1598" i="5"/>
  <c r="D1604" i="5"/>
  <c r="D1528" i="5"/>
  <c r="D1532" i="5" s="1"/>
  <c r="D1523" i="5"/>
  <c r="D1531" i="5" s="1"/>
  <c r="D1515" i="5"/>
  <c r="D1516" i="5" s="1"/>
  <c r="D1499" i="5"/>
  <c r="D1500" i="5" s="1"/>
  <c r="D1487" i="5"/>
  <c r="D1490" i="5"/>
  <c r="D1481" i="5"/>
  <c r="D1482" i="5" s="1"/>
  <c r="D1474" i="5"/>
  <c r="D1475" i="5" s="1"/>
  <c r="D1464" i="5"/>
  <c r="D1459" i="5"/>
  <c r="D1460" i="5" s="1"/>
  <c r="D1452" i="5"/>
  <c r="D1453" i="5" s="1"/>
  <c r="D1439" i="5"/>
  <c r="D1443" i="5" s="1"/>
  <c r="D1428" i="5"/>
  <c r="D1429" i="5" s="1"/>
  <c r="D1421" i="5"/>
  <c r="D1422" i="5" s="1"/>
  <c r="D1409" i="5"/>
  <c r="D1408" i="5"/>
  <c r="D1407" i="5"/>
  <c r="D1406" i="5"/>
  <c r="D1405" i="5"/>
  <c r="D1404" i="5"/>
  <c r="D1403" i="5"/>
  <c r="D1394" i="5"/>
  <c r="D1398" i="5" s="1"/>
  <c r="D1615" i="5" s="1"/>
  <c r="D1383" i="5"/>
  <c r="D1384" i="5" s="1"/>
  <c r="D1376" i="5"/>
  <c r="D1377" i="5" s="1"/>
  <c r="D1364" i="5"/>
  <c r="D1363" i="5"/>
  <c r="D1362" i="5"/>
  <c r="D1361" i="5"/>
  <c r="D1360" i="5"/>
  <c r="D1359" i="5"/>
  <c r="D1358" i="5"/>
  <c r="D1349" i="5"/>
  <c r="D1353" i="5" s="1"/>
  <c r="D1614" i="5" s="1"/>
  <c r="D1331" i="5"/>
  <c r="D1332" i="5" s="1"/>
  <c r="D1324" i="5"/>
  <c r="D1304" i="5"/>
  <c r="D1303" i="5"/>
  <c r="D1302" i="5"/>
  <c r="D1301" i="5"/>
  <c r="D1300" i="5"/>
  <c r="D1299" i="5"/>
  <c r="D1298" i="5"/>
  <c r="D1297" i="5"/>
  <c r="D1296" i="5"/>
  <c r="D1295" i="5"/>
  <c r="D1294" i="5"/>
  <c r="D1293" i="5"/>
  <c r="D1292" i="5"/>
  <c r="D1283" i="5"/>
  <c r="D1287" i="5" s="1"/>
  <c r="D1613" i="5" s="1"/>
  <c r="D1278" i="5"/>
  <c r="D1286" i="5" s="1"/>
  <c r="D1261" i="5"/>
  <c r="D1262" i="5" s="1"/>
  <c r="D1246" i="5"/>
  <c r="D1247" i="5" s="1"/>
  <c r="D1239" i="5"/>
  <c r="D1240" i="5" s="1"/>
  <c r="D1223" i="5"/>
  <c r="D1222" i="5"/>
  <c r="D1221" i="5"/>
  <c r="D1220" i="5"/>
  <c r="D1219" i="5"/>
  <c r="D1218" i="5"/>
  <c r="D1217" i="5"/>
  <c r="D1216" i="5"/>
  <c r="D1215" i="5"/>
  <c r="D1214" i="5"/>
  <c r="D1213" i="5"/>
  <c r="D1203" i="5"/>
  <c r="D1195" i="5"/>
  <c r="D1196" i="5" s="1"/>
  <c r="D1181" i="5"/>
  <c r="D1185" i="5" s="1"/>
  <c r="D1186" i="5" s="1"/>
  <c r="D1187" i="5" s="1"/>
  <c r="D1153" i="5"/>
  <c r="D1154" i="5" s="1"/>
  <c r="D1145" i="5"/>
  <c r="D1146" i="5" s="1"/>
  <c r="D1116" i="5"/>
  <c r="D1115" i="5"/>
  <c r="D1114" i="5"/>
  <c r="D1113" i="5"/>
  <c r="D1112" i="5"/>
  <c r="D1111" i="5"/>
  <c r="D1110" i="5"/>
  <c r="D1109" i="5"/>
  <c r="D1108" i="5"/>
  <c r="D1107" i="5"/>
  <c r="D1106" i="5"/>
  <c r="D1105" i="5"/>
  <c r="D1104" i="5"/>
  <c r="D1103" i="5"/>
  <c r="D1102" i="5"/>
  <c r="D1101" i="5"/>
  <c r="D1100" i="5"/>
  <c r="D1099" i="5"/>
  <c r="D1098" i="5"/>
  <c r="D1097" i="5"/>
  <c r="D1096" i="5"/>
  <c r="D1095" i="5"/>
  <c r="D1094" i="5"/>
  <c r="D1093" i="5"/>
  <c r="D1084" i="5"/>
  <c r="D1085" i="5" s="1"/>
  <c r="D1079" i="5"/>
  <c r="D1087" i="5" s="1"/>
  <c r="D1067" i="5"/>
  <c r="D1068" i="5" s="1"/>
  <c r="D1062" i="5"/>
  <c r="D1070" i="5" s="1"/>
  <c r="D1050" i="5"/>
  <c r="D1054" i="5" s="1"/>
  <c r="D1608" i="5" s="1"/>
  <c r="D1045" i="5"/>
  <c r="D1053" i="5" s="1"/>
  <c r="D1580" i="5" s="1"/>
  <c r="D1028" i="5"/>
  <c r="D1029" i="5" s="1"/>
  <c r="D1017" i="5"/>
  <c r="D1036" i="5" s="1"/>
  <c r="D1579" i="5" s="1"/>
  <c r="D1010" i="5"/>
  <c r="D998" i="5"/>
  <c r="D997" i="5"/>
  <c r="D996" i="5"/>
  <c r="D995" i="5"/>
  <c r="D994" i="5"/>
  <c r="D993" i="5"/>
  <c r="D992" i="5"/>
  <c r="D983" i="5"/>
  <c r="D987" i="5" s="1"/>
  <c r="D1606" i="5" s="1"/>
  <c r="D978" i="5"/>
  <c r="D986" i="5" s="1"/>
  <c r="D966" i="5"/>
  <c r="D970" i="5" s="1"/>
  <c r="D1605" i="5" s="1"/>
  <c r="D961" i="5"/>
  <c r="D962" i="5" s="1"/>
  <c r="D954" i="5"/>
  <c r="D955" i="5" s="1"/>
  <c r="D923" i="5"/>
  <c r="D1603" i="5" s="1"/>
  <c r="D919" i="5"/>
  <c r="D920" i="5" s="1"/>
  <c r="D914" i="5"/>
  <c r="D922" i="5" s="1"/>
  <c r="D1575" i="5" s="1"/>
  <c r="D903" i="5"/>
  <c r="D902" i="5"/>
  <c r="D899" i="5"/>
  <c r="D900" i="5" s="1"/>
  <c r="D882" i="5"/>
  <c r="D883" i="5" s="1"/>
  <c r="D889" i="5"/>
  <c r="D890" i="5" s="1"/>
  <c r="D866" i="5"/>
  <c r="D867" i="5"/>
  <c r="D868" i="5"/>
  <c r="D869" i="5"/>
  <c r="D870" i="5"/>
  <c r="D871" i="5"/>
  <c r="D862" i="5"/>
  <c r="D1602" i="5" s="1"/>
  <c r="D861" i="5"/>
  <c r="D1574" i="5" s="1"/>
  <c r="D858" i="5"/>
  <c r="D859" i="5" s="1"/>
  <c r="D846" i="5"/>
  <c r="D847" i="5" s="1"/>
  <c r="D906" i="5" l="1"/>
  <c r="D1032" i="5"/>
  <c r="D1033" i="5" s="1"/>
  <c r="D1034" i="5" s="1"/>
  <c r="D1397" i="5"/>
  <c r="D1587" i="5" s="1"/>
  <c r="D1559" i="5" s="1"/>
  <c r="D1548" i="5"/>
  <c r="D1547" i="5"/>
  <c r="D1265" i="5"/>
  <c r="D1266" i="5" s="1"/>
  <c r="D1270" i="5" s="1"/>
  <c r="D1552" i="5"/>
  <c r="D1284" i="5"/>
  <c r="D1533" i="5"/>
  <c r="D1629" i="5" s="1"/>
  <c r="D1352" i="5"/>
  <c r="D1586" i="5" s="1"/>
  <c r="D1558" i="5" s="1"/>
  <c r="D1288" i="5"/>
  <c r="D1546" i="5"/>
  <c r="D969" i="5"/>
  <c r="D1577" i="5" s="1"/>
  <c r="D1549" i="5" s="1"/>
  <c r="D1071" i="5"/>
  <c r="D1609" i="5" s="1"/>
  <c r="D1442" i="5"/>
  <c r="D1588" i="5" s="1"/>
  <c r="D1489" i="5"/>
  <c r="D1491" i="5" s="1"/>
  <c r="D1628" i="5"/>
  <c r="D988" i="5"/>
  <c r="D1207" i="5"/>
  <c r="D1582" i="5"/>
  <c r="D1578" i="5"/>
  <c r="D1550" i="5" s="1"/>
  <c r="D1542" i="5"/>
  <c r="D1625" i="5"/>
  <c r="D1208" i="5"/>
  <c r="D1611" i="5" s="1"/>
  <c r="D1269" i="5"/>
  <c r="D1584" i="5" s="1"/>
  <c r="D1585" i="5"/>
  <c r="D1557" i="5" s="1"/>
  <c r="D1581" i="5"/>
  <c r="D1626" i="5"/>
  <c r="D905" i="5"/>
  <c r="D907" i="5" s="1"/>
  <c r="D984" i="5"/>
  <c r="D1088" i="5"/>
  <c r="D1610" i="5" s="1"/>
  <c r="D1506" i="5"/>
  <c r="D1616" i="5"/>
  <c r="D1529" i="5"/>
  <c r="D1440" i="5"/>
  <c r="D1410" i="5"/>
  <c r="D1411" i="5" s="1"/>
  <c r="D1395" i="5"/>
  <c r="D1365" i="5"/>
  <c r="D1366" i="5" s="1"/>
  <c r="D1350" i="5"/>
  <c r="D1305" i="5"/>
  <c r="D1306" i="5"/>
  <c r="D1307" i="5" s="1"/>
  <c r="D1325" i="5"/>
  <c r="D1224" i="5"/>
  <c r="D1225" i="5" s="1"/>
  <c r="D1205" i="5"/>
  <c r="D1204" i="5"/>
  <c r="D1182" i="5"/>
  <c r="D1117" i="5"/>
  <c r="D1118" i="5" s="1"/>
  <c r="D1055" i="5"/>
  <c r="D1051" i="5"/>
  <c r="D1037" i="5"/>
  <c r="D1607" i="5" s="1"/>
  <c r="D1551" i="5" s="1"/>
  <c r="D999" i="5"/>
  <c r="D1000" i="5" s="1"/>
  <c r="D967" i="5"/>
  <c r="D924" i="5"/>
  <c r="D872" i="5"/>
  <c r="D873" i="5" s="1"/>
  <c r="D839" i="5"/>
  <c r="D840" i="5" s="1"/>
  <c r="D826" i="5"/>
  <c r="D825" i="5"/>
  <c r="D824" i="5"/>
  <c r="D823" i="5"/>
  <c r="D822" i="5"/>
  <c r="D821" i="5"/>
  <c r="D820" i="5"/>
  <c r="D819" i="5"/>
  <c r="D810" i="5"/>
  <c r="D811" i="5" s="1"/>
  <c r="D805" i="5"/>
  <c r="D813" i="5" s="1"/>
  <c r="D1573" i="5" s="1"/>
  <c r="D793" i="5"/>
  <c r="D797" i="5" s="1"/>
  <c r="D1600" i="5" s="1"/>
  <c r="D788" i="5"/>
  <c r="D789" i="5" s="1"/>
  <c r="D776" i="5"/>
  <c r="D780" i="5" s="1"/>
  <c r="D1599" i="5" s="1"/>
  <c r="D771" i="5"/>
  <c r="D779" i="5" s="1"/>
  <c r="D1571" i="5" s="1"/>
  <c r="D759" i="5"/>
  <c r="D760" i="5" s="1"/>
  <c r="D754" i="5"/>
  <c r="D755" i="5" s="1"/>
  <c r="D747" i="5"/>
  <c r="D736" i="5"/>
  <c r="D740" i="5" s="1"/>
  <c r="D1596" i="5" s="1"/>
  <c r="D731" i="5"/>
  <c r="D732" i="5" s="1"/>
  <c r="D719" i="5"/>
  <c r="D723" i="5" s="1"/>
  <c r="D1595" i="5" s="1"/>
  <c r="D714" i="5"/>
  <c r="D722" i="5" s="1"/>
  <c r="D702" i="5"/>
  <c r="D697" i="5"/>
  <c r="D705" i="5" s="1"/>
  <c r="D684" i="5"/>
  <c r="D688" i="5" s="1"/>
  <c r="D1593" i="5" s="1"/>
  <c r="D679" i="5"/>
  <c r="D680" i="5" s="1"/>
  <c r="D652" i="5"/>
  <c r="D653" i="5" s="1"/>
  <c r="D657" i="5" s="1"/>
  <c r="D648" i="5"/>
  <c r="D649" i="5" s="1"/>
  <c r="D637" i="5"/>
  <c r="D641" i="5" s="1"/>
  <c r="D642" i="5" s="1"/>
  <c r="D615" i="5"/>
  <c r="D628" i="5" s="1"/>
  <c r="D629" i="5" s="1"/>
  <c r="D633" i="5" s="1"/>
  <c r="D1399" i="5" l="1"/>
  <c r="D1444" i="5"/>
  <c r="D1553" i="5"/>
  <c r="D1072" i="5"/>
  <c r="D1354" i="5"/>
  <c r="D1267" i="5"/>
  <c r="D971" i="5"/>
  <c r="D706" i="5"/>
  <c r="D1594" i="5" s="1"/>
  <c r="D814" i="5"/>
  <c r="D1601" i="5" s="1"/>
  <c r="D1545" i="5" s="1"/>
  <c r="D796" i="5"/>
  <c r="D1572" i="5" s="1"/>
  <c r="D1544" i="5" s="1"/>
  <c r="D656" i="5"/>
  <c r="D658" i="5" s="1"/>
  <c r="D1038" i="5"/>
  <c r="D1554" i="5"/>
  <c r="D1209" i="5"/>
  <c r="D1583" i="5"/>
  <c r="D1555" i="5" s="1"/>
  <c r="D762" i="5"/>
  <c r="D1543" i="5"/>
  <c r="D1507" i="5"/>
  <c r="D1627" i="5"/>
  <c r="D1630" i="5" s="1"/>
  <c r="D1089" i="5"/>
  <c r="D1560" i="5"/>
  <c r="D1566" i="5"/>
  <c r="D724" i="5"/>
  <c r="D1567" i="5"/>
  <c r="D763" i="5"/>
  <c r="D1597" i="5" s="1"/>
  <c r="D806" i="5"/>
  <c r="D1271" i="5"/>
  <c r="D1612" i="5"/>
  <c r="D1556" i="5" s="1"/>
  <c r="D827" i="5"/>
  <c r="D828" i="5" s="1"/>
  <c r="D794" i="5"/>
  <c r="D777" i="5"/>
  <c r="D781" i="5"/>
  <c r="D739" i="5"/>
  <c r="D720" i="5"/>
  <c r="D685" i="5"/>
  <c r="D687" i="5"/>
  <c r="D654" i="5"/>
  <c r="D630" i="5"/>
  <c r="D624" i="5"/>
  <c r="D617" i="5"/>
  <c r="D618" i="5" s="1"/>
  <c r="D606" i="5"/>
  <c r="D607" i="5" s="1"/>
  <c r="D602" i="5"/>
  <c r="D603" i="5" s="1"/>
  <c r="D588" i="5"/>
  <c r="D593" i="5" s="1"/>
  <c r="D594" i="5" s="1"/>
  <c r="D580" i="5"/>
  <c r="D575" i="5"/>
  <c r="D576" i="5" s="1"/>
  <c r="D567" i="5"/>
  <c r="D1538" i="5" l="1"/>
  <c r="D581" i="5"/>
  <c r="D584" i="5"/>
  <c r="D568" i="5"/>
  <c r="D583" i="5"/>
  <c r="D798" i="5"/>
  <c r="D815" i="5"/>
  <c r="D1617" i="5"/>
  <c r="D1620" i="5" s="1"/>
  <c r="D707" i="5"/>
  <c r="D764" i="5"/>
  <c r="D1569" i="5"/>
  <c r="D1541" i="5" s="1"/>
  <c r="D625" i="5"/>
  <c r="D632" i="5"/>
  <c r="D634" i="5" s="1"/>
  <c r="D741" i="5"/>
  <c r="D1568" i="5"/>
  <c r="D1540" i="5" s="1"/>
  <c r="D1539" i="5"/>
  <c r="D610" i="5"/>
  <c r="D689" i="5"/>
  <c r="D1565" i="5"/>
  <c r="D1537" i="5" s="1"/>
  <c r="D611" i="5"/>
  <c r="D608" i="5"/>
  <c r="D558" i="5"/>
  <c r="D559" i="5" s="1"/>
  <c r="D585" i="5" l="1"/>
  <c r="D1561" i="5"/>
  <c r="D1589" i="5"/>
  <c r="D1619" i="5" s="1"/>
  <c r="D1621" i="5" s="1"/>
  <c r="D612" i="5"/>
  <c r="D553" i="5"/>
  <c r="D554" i="5" s="1"/>
  <c r="D546" i="5"/>
  <c r="D547" i="5" s="1"/>
  <c r="D522" i="5"/>
  <c r="D517" i="5"/>
  <c r="D508" i="5"/>
  <c r="D498" i="5"/>
  <c r="D489" i="5"/>
  <c r="D490" i="5" s="1"/>
  <c r="D476" i="5"/>
  <c r="D477" i="5" s="1"/>
  <c r="D470" i="5"/>
  <c r="D459" i="5"/>
  <c r="D461" i="5" s="1"/>
  <c r="D452" i="5"/>
  <c r="D444" i="5"/>
  <c r="D445" i="5" s="1"/>
  <c r="D432" i="5"/>
  <c r="D415" i="5"/>
  <c r="D399" i="5"/>
  <c r="D400" i="5" s="1"/>
  <c r="D384" i="5"/>
  <c r="D373" i="5"/>
  <c r="D377" i="5" s="1"/>
  <c r="D357" i="5"/>
  <c r="D356" i="5"/>
  <c r="D355" i="5"/>
  <c r="D330" i="5"/>
  <c r="D322" i="5"/>
  <c r="D321" i="5"/>
  <c r="D320" i="5"/>
  <c r="D319" i="5"/>
  <c r="D318" i="5"/>
  <c r="D317" i="5"/>
  <c r="D316" i="5"/>
  <c r="D315" i="5"/>
  <c r="D314" i="5"/>
  <c r="D313" i="5"/>
  <c r="D312" i="5"/>
  <c r="D311" i="5"/>
  <c r="D310" i="5"/>
  <c r="D309" i="5"/>
  <c r="D308" i="5"/>
  <c r="D307" i="5"/>
  <c r="D306" i="5"/>
  <c r="D235" i="5"/>
  <c r="D281" i="5"/>
  <c r="N173" i="5"/>
  <c r="O173" i="5" s="1"/>
  <c r="N141" i="5"/>
  <c r="O141" i="5" s="1"/>
  <c r="N139" i="5"/>
  <c r="N135" i="5"/>
  <c r="O135" i="5" s="1"/>
  <c r="N114" i="5"/>
  <c r="O114" i="5" s="1"/>
  <c r="N105" i="5"/>
  <c r="O105" i="5" s="1"/>
  <c r="O139" i="5" l="1"/>
  <c r="D323" i="5"/>
  <c r="D463" i="5"/>
  <c r="D465" i="5" s="1"/>
  <c r="D521" i="5"/>
  <c r="D523" i="5" s="1"/>
  <c r="D524" i="5" s="1"/>
  <c r="D1866" i="5" s="1"/>
  <c r="D375" i="5"/>
  <c r="N95" i="5"/>
  <c r="O95" i="5" s="1"/>
  <c r="D48" i="5"/>
  <c r="D47" i="5"/>
  <c r="D46" i="5"/>
  <c r="D43" i="5"/>
  <c r="D37" i="5"/>
  <c r="D17" i="5"/>
  <c r="D16" i="5"/>
  <c r="D15" i="5"/>
  <c r="D12" i="5"/>
  <c r="D1848" i="5" s="1"/>
  <c r="D18" i="5" l="1"/>
  <c r="D379" i="5"/>
  <c r="D1865" i="5"/>
  <c r="D1858" i="5"/>
  <c r="D49" i="5"/>
  <c r="D1860" i="5" l="1"/>
  <c r="D1849" i="5"/>
  <c r="B311" i="5"/>
  <c r="C1831" i="5" l="1"/>
  <c r="C1843" i="5" s="1"/>
  <c r="C1850" i="5" s="1"/>
  <c r="C1819" i="5"/>
  <c r="C1816" i="5"/>
  <c r="C1851" i="5" s="1"/>
  <c r="C1774" i="5"/>
  <c r="C1720" i="5"/>
  <c r="C1721" i="5" s="1"/>
  <c r="C1682" i="5"/>
  <c r="C1687" i="5" s="1"/>
  <c r="C1868" i="5" s="1"/>
  <c r="C1820" i="5" l="1"/>
  <c r="C1852" i="5"/>
  <c r="C1845" i="5"/>
  <c r="C1853" i="5"/>
  <c r="C1854" i="5"/>
  <c r="C1683" i="5"/>
  <c r="C1686" i="5"/>
  <c r="C1667" i="5"/>
  <c r="C1668" i="5" s="1"/>
  <c r="C1660" i="5"/>
  <c r="C1661" i="5" s="1"/>
  <c r="C1655" i="5"/>
  <c r="C1656" i="5" s="1"/>
  <c r="C1645" i="5"/>
  <c r="C1646" i="5" s="1"/>
  <c r="C1867" i="5" s="1"/>
  <c r="C1598" i="5"/>
  <c r="C1570" i="5"/>
  <c r="C1528" i="5"/>
  <c r="C1532" i="5" s="1"/>
  <c r="C1523" i="5"/>
  <c r="C1531" i="5" s="1"/>
  <c r="C1515" i="5"/>
  <c r="C1516" i="5" s="1"/>
  <c r="C1499" i="5"/>
  <c r="C1506" i="5" s="1"/>
  <c r="C1507" i="5" s="1"/>
  <c r="C1487" i="5"/>
  <c r="C1490" i="5"/>
  <c r="C1481" i="5"/>
  <c r="C1482" i="5" s="1"/>
  <c r="C1474" i="5"/>
  <c r="C1475" i="5" s="1"/>
  <c r="C1464" i="5"/>
  <c r="C1459" i="5"/>
  <c r="C1460" i="5" s="1"/>
  <c r="C1452" i="5"/>
  <c r="C1453" i="5" s="1"/>
  <c r="C1439" i="5"/>
  <c r="C1443" i="5" s="1"/>
  <c r="C1616" i="5" s="1"/>
  <c r="C1428" i="5"/>
  <c r="C1429" i="5" s="1"/>
  <c r="C1421" i="5"/>
  <c r="C1422" i="5" s="1"/>
  <c r="C1409" i="5"/>
  <c r="C1408" i="5"/>
  <c r="C1407" i="5"/>
  <c r="C1406" i="5"/>
  <c r="C1405" i="5"/>
  <c r="C1404" i="5"/>
  <c r="C1403" i="5"/>
  <c r="C1394" i="5"/>
  <c r="C1398" i="5" s="1"/>
  <c r="C1615" i="5" s="1"/>
  <c r="C1383" i="5"/>
  <c r="C1384" i="5" s="1"/>
  <c r="C1376" i="5"/>
  <c r="C1377" i="5" s="1"/>
  <c r="C1364" i="5"/>
  <c r="C1363" i="5"/>
  <c r="C1362" i="5"/>
  <c r="C1361" i="5"/>
  <c r="C1360" i="5"/>
  <c r="C1359" i="5"/>
  <c r="C1358" i="5"/>
  <c r="C1283" i="5"/>
  <c r="C1284" i="5" s="1"/>
  <c r="C1278" i="5"/>
  <c r="C1286" i="5" s="1"/>
  <c r="C1585" i="5" s="1"/>
  <c r="C1349" i="5"/>
  <c r="C1353" i="5" s="1"/>
  <c r="C1614" i="5" s="1"/>
  <c r="C1542" i="5" l="1"/>
  <c r="C1397" i="5"/>
  <c r="C1587" i="5" s="1"/>
  <c r="C1559" i="5" s="1"/>
  <c r="C1627" i="5"/>
  <c r="C1626" i="5"/>
  <c r="C1442" i="5"/>
  <c r="C1588" i="5" s="1"/>
  <c r="C1560" i="5" s="1"/>
  <c r="C1489" i="5"/>
  <c r="C1491" i="5" s="1"/>
  <c r="C1625" i="5"/>
  <c r="C1628" i="5"/>
  <c r="C1533" i="5"/>
  <c r="C1629" i="5" s="1"/>
  <c r="C1529" i="5"/>
  <c r="C1500" i="5"/>
  <c r="C1440" i="5"/>
  <c r="C1410" i="5"/>
  <c r="C1411" i="5" s="1"/>
  <c r="C1399" i="5"/>
  <c r="C1395" i="5"/>
  <c r="C1365" i="5"/>
  <c r="C1366" i="5" s="1"/>
  <c r="C1287" i="5"/>
  <c r="C1613" i="5" s="1"/>
  <c r="C1557" i="5" s="1"/>
  <c r="C1350" i="5"/>
  <c r="C1261" i="5"/>
  <c r="C1262" i="5" s="1"/>
  <c r="C1246" i="5"/>
  <c r="C1247" i="5" s="1"/>
  <c r="C1331" i="5"/>
  <c r="C1324" i="5"/>
  <c r="C1325" i="5" s="1"/>
  <c r="C1292" i="5"/>
  <c r="C1293" i="5"/>
  <c r="C1294" i="5"/>
  <c r="C1295" i="5"/>
  <c r="C1296" i="5"/>
  <c r="C1297" i="5"/>
  <c r="C1298" i="5"/>
  <c r="C1299" i="5"/>
  <c r="C1300" i="5"/>
  <c r="C1301" i="5"/>
  <c r="C1302" i="5"/>
  <c r="C1303" i="5"/>
  <c r="C1304" i="5"/>
  <c r="C1239" i="5"/>
  <c r="C1240" i="5" s="1"/>
  <c r="C1213" i="5"/>
  <c r="C1214" i="5"/>
  <c r="C1215" i="5"/>
  <c r="C1216" i="5"/>
  <c r="C1217" i="5"/>
  <c r="C1218" i="5"/>
  <c r="C1219" i="5"/>
  <c r="C1220" i="5"/>
  <c r="C1221" i="5"/>
  <c r="C1222" i="5"/>
  <c r="C1223" i="5"/>
  <c r="C1203" i="5"/>
  <c r="C1195" i="5"/>
  <c r="C1196" i="5" s="1"/>
  <c r="C1181" i="5"/>
  <c r="C1182" i="5" s="1"/>
  <c r="C1205" i="5" l="1"/>
  <c r="C1208" i="5"/>
  <c r="C1611" i="5" s="1"/>
  <c r="C1444" i="5"/>
  <c r="C1269" i="5"/>
  <c r="C1584" i="5" s="1"/>
  <c r="C1332" i="5"/>
  <c r="C1352" i="5"/>
  <c r="C1265" i="5"/>
  <c r="C1266" i="5" s="1"/>
  <c r="C1270" i="5" s="1"/>
  <c r="C1288" i="5"/>
  <c r="C1630" i="5"/>
  <c r="C1305" i="5"/>
  <c r="C1306" i="5"/>
  <c r="C1307" i="5" s="1"/>
  <c r="C1224" i="5"/>
  <c r="C1225" i="5" s="1"/>
  <c r="C1204" i="5"/>
  <c r="C1185" i="5"/>
  <c r="C1186" i="5" s="1"/>
  <c r="C1187" i="5" s="1"/>
  <c r="C1153" i="5"/>
  <c r="C1145" i="5"/>
  <c r="C1146" i="5" s="1"/>
  <c r="C1116" i="5"/>
  <c r="C1115" i="5"/>
  <c r="C1114" i="5"/>
  <c r="C1113" i="5"/>
  <c r="C1112" i="5"/>
  <c r="C1111" i="5"/>
  <c r="C1110" i="5"/>
  <c r="C1109" i="5"/>
  <c r="C1108" i="5"/>
  <c r="C1107" i="5"/>
  <c r="C1106" i="5"/>
  <c r="C1105" i="5"/>
  <c r="C1104" i="5"/>
  <c r="C1103" i="5"/>
  <c r="C1102" i="5"/>
  <c r="C1101" i="5"/>
  <c r="C1100" i="5"/>
  <c r="C1099" i="5"/>
  <c r="C1098" i="5"/>
  <c r="C1097" i="5"/>
  <c r="C1096" i="5"/>
  <c r="C1095" i="5"/>
  <c r="C1094" i="5"/>
  <c r="C1093" i="5"/>
  <c r="C1084" i="5"/>
  <c r="C1088" i="5" s="1"/>
  <c r="C1610" i="5" s="1"/>
  <c r="C1079" i="5"/>
  <c r="C1087" i="5" s="1"/>
  <c r="C1067" i="5"/>
  <c r="C1071" i="5" s="1"/>
  <c r="C1609" i="5" s="1"/>
  <c r="C1062" i="5"/>
  <c r="C1070" i="5" s="1"/>
  <c r="C1581" i="5" s="1"/>
  <c r="C1050" i="5"/>
  <c r="C1054" i="5" s="1"/>
  <c r="C1608" i="5" s="1"/>
  <c r="C1045" i="5"/>
  <c r="C1053" i="5" s="1"/>
  <c r="C1028" i="5"/>
  <c r="C1032" i="5" s="1"/>
  <c r="C1033" i="5" s="1"/>
  <c r="C1017" i="5"/>
  <c r="C1036" i="5" s="1"/>
  <c r="C1579" i="5" s="1"/>
  <c r="C1010" i="5"/>
  <c r="C998" i="5"/>
  <c r="C997" i="5"/>
  <c r="C996" i="5"/>
  <c r="C995" i="5"/>
  <c r="C994" i="5"/>
  <c r="C993" i="5"/>
  <c r="C992" i="5"/>
  <c r="C983" i="5"/>
  <c r="C987" i="5" s="1"/>
  <c r="C1606" i="5" s="1"/>
  <c r="C978" i="5"/>
  <c r="C986" i="5" s="1"/>
  <c r="C966" i="5"/>
  <c r="C970" i="5" s="1"/>
  <c r="C1605" i="5" s="1"/>
  <c r="C961" i="5"/>
  <c r="C962" i="5" s="1"/>
  <c r="C954" i="5"/>
  <c r="C955" i="5" s="1"/>
  <c r="C931" i="5"/>
  <c r="C939" i="5" s="1"/>
  <c r="C1576" i="5" s="1"/>
  <c r="C936" i="5"/>
  <c r="C937" i="5" s="1"/>
  <c r="C940" i="5"/>
  <c r="C1604" i="5" s="1"/>
  <c r="C923" i="5"/>
  <c r="C1603" i="5" s="1"/>
  <c r="C919" i="5"/>
  <c r="C920" i="5" s="1"/>
  <c r="C914" i="5"/>
  <c r="C922" i="5" s="1"/>
  <c r="C902" i="5"/>
  <c r="C903" i="5"/>
  <c r="C899" i="5"/>
  <c r="C900" i="5" s="1"/>
  <c r="C889" i="5"/>
  <c r="C890" i="5" s="1"/>
  <c r="C882" i="5"/>
  <c r="C883" i="5" s="1"/>
  <c r="C866" i="5"/>
  <c r="C867" i="5"/>
  <c r="C868" i="5"/>
  <c r="C869" i="5"/>
  <c r="C870" i="5"/>
  <c r="C871" i="5"/>
  <c r="C861" i="5"/>
  <c r="C1574" i="5" s="1"/>
  <c r="C858" i="5"/>
  <c r="C859" i="5" s="1"/>
  <c r="C839" i="5"/>
  <c r="C840" i="5" s="1"/>
  <c r="C846" i="5"/>
  <c r="C847" i="5" s="1"/>
  <c r="C862" i="5"/>
  <c r="C1602" i="5" s="1"/>
  <c r="C826" i="5"/>
  <c r="C825" i="5"/>
  <c r="C824" i="5"/>
  <c r="C823" i="5"/>
  <c r="C822" i="5"/>
  <c r="C821" i="5"/>
  <c r="C820" i="5"/>
  <c r="C819" i="5"/>
  <c r="C805" i="5"/>
  <c r="C806" i="5" s="1"/>
  <c r="C810" i="5"/>
  <c r="C814" i="5" s="1"/>
  <c r="C1601" i="5" s="1"/>
  <c r="C793" i="5"/>
  <c r="C797" i="5" s="1"/>
  <c r="C1600" i="5" s="1"/>
  <c r="C788" i="5"/>
  <c r="C789" i="5" s="1"/>
  <c r="C776" i="5"/>
  <c r="C780" i="5" s="1"/>
  <c r="C1599" i="5" s="1"/>
  <c r="C771" i="5"/>
  <c r="C779" i="5" s="1"/>
  <c r="C1571" i="5" s="1"/>
  <c r="C759" i="5"/>
  <c r="C754" i="5"/>
  <c r="C747" i="5"/>
  <c r="C736" i="5"/>
  <c r="C740" i="5" s="1"/>
  <c r="C1596" i="5" s="1"/>
  <c r="C731" i="5"/>
  <c r="C732" i="5" s="1"/>
  <c r="C719" i="5"/>
  <c r="C720" i="5" s="1"/>
  <c r="C714" i="5"/>
  <c r="C722" i="5" s="1"/>
  <c r="C702" i="5"/>
  <c r="C706" i="5" s="1"/>
  <c r="C1594" i="5" s="1"/>
  <c r="C697" i="5"/>
  <c r="C705" i="5" s="1"/>
  <c r="C684" i="5"/>
  <c r="C685" i="5" s="1"/>
  <c r="C679" i="5"/>
  <c r="C680" i="5" s="1"/>
  <c r="C652" i="5"/>
  <c r="C653" i="5" s="1"/>
  <c r="B652" i="5"/>
  <c r="C637" i="5"/>
  <c r="C641" i="5" s="1"/>
  <c r="C642" i="5" s="1"/>
  <c r="C648" i="5"/>
  <c r="C649" i="5" s="1"/>
  <c r="C1051" i="5" l="1"/>
  <c r="C1267" i="5"/>
  <c r="C1548" i="5"/>
  <c r="C1543" i="5"/>
  <c r="C755" i="5"/>
  <c r="C762" i="5"/>
  <c r="C656" i="5"/>
  <c r="C763" i="5"/>
  <c r="C1597" i="5" s="1"/>
  <c r="C1553" i="5"/>
  <c r="C1567" i="5"/>
  <c r="C687" i="5"/>
  <c r="C688" i="5"/>
  <c r="C1593" i="5" s="1"/>
  <c r="C796" i="5"/>
  <c r="C1572" i="5" s="1"/>
  <c r="C1544" i="5" s="1"/>
  <c r="C924" i="5"/>
  <c r="C1575" i="5"/>
  <c r="C1547" i="5" s="1"/>
  <c r="C988" i="5"/>
  <c r="C1578" i="5"/>
  <c r="C1550" i="5" s="1"/>
  <c r="C1085" i="5"/>
  <c r="C1154" i="5"/>
  <c r="C1207" i="5"/>
  <c r="C906" i="5"/>
  <c r="C1055" i="5"/>
  <c r="C1580" i="5"/>
  <c r="C1552" i="5" s="1"/>
  <c r="C707" i="5"/>
  <c r="C1566" i="5"/>
  <c r="C1538" i="5" s="1"/>
  <c r="C739" i="5"/>
  <c r="C1568" i="5" s="1"/>
  <c r="C1540" i="5" s="1"/>
  <c r="C760" i="5"/>
  <c r="C1089" i="5"/>
  <c r="C1582" i="5"/>
  <c r="C1554" i="5" s="1"/>
  <c r="C723" i="5"/>
  <c r="C1595" i="5" s="1"/>
  <c r="C794" i="5"/>
  <c r="C1546" i="5"/>
  <c r="C905" i="5"/>
  <c r="C907" i="5" s="1"/>
  <c r="C969" i="5"/>
  <c r="C1577" i="5" s="1"/>
  <c r="C1549" i="5" s="1"/>
  <c r="C1271" i="5"/>
  <c r="C1612" i="5"/>
  <c r="C1556" i="5" s="1"/>
  <c r="C1586" i="5"/>
  <c r="C1558" i="5" s="1"/>
  <c r="C1354" i="5"/>
  <c r="C1117" i="5"/>
  <c r="C1118" i="5" s="1"/>
  <c r="C1072" i="5"/>
  <c r="C1068" i="5"/>
  <c r="C999" i="5"/>
  <c r="C1000" i="5" s="1"/>
  <c r="C1037" i="5"/>
  <c r="C1034" i="5"/>
  <c r="C1029" i="5"/>
  <c r="C984" i="5"/>
  <c r="C967" i="5"/>
  <c r="C941" i="5"/>
  <c r="C872" i="5"/>
  <c r="C873" i="5" s="1"/>
  <c r="C827" i="5"/>
  <c r="C828" i="5" s="1"/>
  <c r="C811" i="5"/>
  <c r="C813" i="5"/>
  <c r="C1573" i="5" s="1"/>
  <c r="C1545" i="5" s="1"/>
  <c r="C798" i="5"/>
  <c r="C777" i="5"/>
  <c r="C781" i="5"/>
  <c r="C657" i="5"/>
  <c r="C654" i="5"/>
  <c r="C624" i="5"/>
  <c r="C625" i="5" s="1"/>
  <c r="C615" i="5"/>
  <c r="C628" i="5" s="1"/>
  <c r="C629" i="5" s="1"/>
  <c r="C630" i="5" s="1"/>
  <c r="C602" i="5"/>
  <c r="C603" i="5" s="1"/>
  <c r="C606" i="5"/>
  <c r="C607" i="5" s="1"/>
  <c r="C608" i="5" s="1"/>
  <c r="B606" i="5"/>
  <c r="C588" i="5"/>
  <c r="C593" i="5" s="1"/>
  <c r="C594" i="5" s="1"/>
  <c r="C580" i="5"/>
  <c r="C584" i="5" s="1"/>
  <c r="C575" i="5"/>
  <c r="C576" i="5" s="1"/>
  <c r="C567" i="5"/>
  <c r="C432" i="5"/>
  <c r="C415" i="5"/>
  <c r="C546" i="5"/>
  <c r="C547" i="5" s="1"/>
  <c r="C558" i="5"/>
  <c r="C559" i="5" s="1"/>
  <c r="C553" i="5"/>
  <c r="C554" i="5" s="1"/>
  <c r="C517" i="5"/>
  <c r="C508" i="5"/>
  <c r="C498" i="5"/>
  <c r="C489" i="5"/>
  <c r="C490" i="5" s="1"/>
  <c r="C476" i="5"/>
  <c r="C477" i="5" s="1"/>
  <c r="C470" i="5"/>
  <c r="C459" i="5"/>
  <c r="C461" i="5" s="1"/>
  <c r="C452" i="5"/>
  <c r="C444" i="5"/>
  <c r="C445" i="5" s="1"/>
  <c r="C399" i="5"/>
  <c r="C400" i="5" s="1"/>
  <c r="C384" i="5"/>
  <c r="C373" i="5"/>
  <c r="C377" i="5" s="1"/>
  <c r="B281" i="5"/>
  <c r="C741" i="5" l="1"/>
  <c r="C568" i="5"/>
  <c r="C583" i="5"/>
  <c r="C585" i="5" s="1"/>
  <c r="C815" i="5"/>
  <c r="C764" i="5"/>
  <c r="C610" i="5"/>
  <c r="C658" i="5"/>
  <c r="C971" i="5"/>
  <c r="C617" i="5"/>
  <c r="C618" i="5" s="1"/>
  <c r="C1038" i="5"/>
  <c r="C1607" i="5"/>
  <c r="C1551" i="5" s="1"/>
  <c r="C1209" i="5"/>
  <c r="C1583" i="5"/>
  <c r="C1555" i="5" s="1"/>
  <c r="C1569" i="5"/>
  <c r="C1541" i="5" s="1"/>
  <c r="C1565" i="5"/>
  <c r="C689" i="5"/>
  <c r="C611" i="5"/>
  <c r="C1539" i="5"/>
  <c r="C522" i="5"/>
  <c r="C724" i="5"/>
  <c r="C632" i="5"/>
  <c r="C633" i="5"/>
  <c r="C581" i="5"/>
  <c r="C463" i="5"/>
  <c r="C465" i="5" s="1"/>
  <c r="C521" i="5"/>
  <c r="C375" i="5"/>
  <c r="C357" i="5"/>
  <c r="C356" i="5"/>
  <c r="C355" i="5"/>
  <c r="C330" i="5"/>
  <c r="C306" i="5"/>
  <c r="C307" i="5"/>
  <c r="C308" i="5"/>
  <c r="C309" i="5"/>
  <c r="C310" i="5"/>
  <c r="C311" i="5"/>
  <c r="C312" i="5"/>
  <c r="C313" i="5"/>
  <c r="C314" i="5"/>
  <c r="C315" i="5"/>
  <c r="C316" i="5"/>
  <c r="C317" i="5"/>
  <c r="C318" i="5"/>
  <c r="C319" i="5"/>
  <c r="C320" i="5"/>
  <c r="C321" i="5"/>
  <c r="C322" i="5"/>
  <c r="C612" i="5" l="1"/>
  <c r="C523" i="5"/>
  <c r="C524" i="5" s="1"/>
  <c r="C1866" i="5" s="1"/>
  <c r="C1617" i="5"/>
  <c r="C1620" i="5" s="1"/>
  <c r="C323" i="5"/>
  <c r="C1589" i="5"/>
  <c r="C1619" i="5" s="1"/>
  <c r="C1537" i="5"/>
  <c r="C1561" i="5" s="1"/>
  <c r="C379" i="5"/>
  <c r="C1865" i="5"/>
  <c r="C634" i="5"/>
  <c r="N171" i="5"/>
  <c r="O171" i="5" s="1"/>
  <c r="N161" i="5"/>
  <c r="O161" i="5" s="1"/>
  <c r="N159" i="5"/>
  <c r="O159" i="5" s="1"/>
  <c r="N153" i="5"/>
  <c r="O153" i="5" s="1"/>
  <c r="N151" i="5"/>
  <c r="O151" i="5" s="1"/>
  <c r="N147" i="5"/>
  <c r="O147" i="5" s="1"/>
  <c r="N130" i="5"/>
  <c r="O130" i="5" s="1"/>
  <c r="N116" i="5"/>
  <c r="O116" i="5" s="1"/>
  <c r="N111" i="5"/>
  <c r="O111" i="5" s="1"/>
  <c r="N110" i="5"/>
  <c r="O110" i="5" s="1"/>
  <c r="N107" i="5"/>
  <c r="O107" i="5" s="1"/>
  <c r="N101" i="5"/>
  <c r="O101" i="5" s="1"/>
  <c r="N91" i="5"/>
  <c r="O91" i="5" s="1"/>
  <c r="N84" i="5"/>
  <c r="O84" i="5" s="1"/>
  <c r="C12" i="5"/>
  <c r="C1848" i="5" s="1"/>
  <c r="C1621" i="5" l="1"/>
  <c r="B1570" i="5"/>
  <c r="B1598" i="5"/>
  <c r="N1598" i="5" s="1"/>
  <c r="B1214" i="5" l="1"/>
  <c r="B1215" i="5"/>
  <c r="B1216" i="5"/>
  <c r="B1217" i="5"/>
  <c r="B1218" i="5"/>
  <c r="B1219" i="5"/>
  <c r="B1220" i="5"/>
  <c r="B1221" i="5"/>
  <c r="B1222" i="5"/>
  <c r="B1223" i="5"/>
  <c r="D2" i="9" l="1"/>
  <c r="E2" i="9"/>
  <c r="D3" i="9"/>
  <c r="E3" i="9"/>
  <c r="D4" i="9"/>
  <c r="E4" i="9"/>
  <c r="C3" i="9"/>
  <c r="C4" i="9"/>
  <c r="C2" i="9"/>
  <c r="B1774" i="5" l="1"/>
  <c r="N1742" i="5"/>
  <c r="O1742" i="5" s="1"/>
  <c r="N1741" i="5"/>
  <c r="O1741" i="5" s="1"/>
  <c r="N1740" i="5"/>
  <c r="O1740" i="5" s="1"/>
  <c r="N1766" i="5"/>
  <c r="O1766" i="5" s="1"/>
  <c r="B776" i="5" l="1"/>
  <c r="B777" i="5" s="1"/>
  <c r="B1816" i="5"/>
  <c r="N1670" i="5" l="1"/>
  <c r="O1670" i="5" s="1"/>
  <c r="B1515" i="5"/>
  <c r="O1515" i="5" s="1"/>
  <c r="O1570" i="5"/>
  <c r="B1542" i="5" l="1"/>
  <c r="O1598" i="5"/>
  <c r="B517" i="5" l="1"/>
  <c r="N404" i="5" l="1"/>
  <c r="N405" i="5"/>
  <c r="N406" i="5"/>
  <c r="N407" i="5"/>
  <c r="N408" i="5"/>
  <c r="N409" i="5"/>
  <c r="N410" i="5"/>
  <c r="N411" i="5"/>
  <c r="N412" i="5"/>
  <c r="N413" i="5"/>
  <c r="N414" i="5"/>
  <c r="N429" i="5"/>
  <c r="O429" i="5" s="1"/>
  <c r="N428" i="5"/>
  <c r="O428" i="5" s="1"/>
  <c r="B415" i="5"/>
  <c r="N415" i="5" s="1"/>
  <c r="B998" i="5" l="1"/>
  <c r="B1010" i="5"/>
  <c r="B1028" i="5"/>
  <c r="N1027" i="5"/>
  <c r="O1027" i="5" s="1"/>
  <c r="N1009" i="5"/>
  <c r="O1009" i="5" s="1"/>
  <c r="N998" i="5" l="1"/>
  <c r="O998" i="5" s="1"/>
  <c r="B637" i="5"/>
  <c r="B615" i="5"/>
  <c r="B628" i="5" s="1"/>
  <c r="B588" i="5"/>
  <c r="B1145" i="5" l="1"/>
  <c r="B318" i="5" l="1"/>
  <c r="B322" i="5"/>
  <c r="B306" i="5"/>
  <c r="B319" i="5"/>
  <c r="N277" i="5"/>
  <c r="O277" i="5" s="1"/>
  <c r="N257" i="5"/>
  <c r="O257" i="5" s="1"/>
  <c r="N231" i="5"/>
  <c r="O231" i="5" s="1"/>
  <c r="B178" i="5"/>
  <c r="N98" i="5"/>
  <c r="O98" i="5" s="1"/>
  <c r="N113" i="5"/>
  <c r="O113" i="5" s="1"/>
  <c r="N115" i="5"/>
  <c r="O115" i="5" s="1"/>
  <c r="C303" i="5" l="1"/>
  <c r="D303" i="5"/>
  <c r="F303" i="5"/>
  <c r="H303" i="5"/>
  <c r="I303" i="5"/>
  <c r="J303" i="5"/>
  <c r="K303" i="5"/>
  <c r="L303" i="5"/>
  <c r="M303" i="5"/>
  <c r="C297" i="5"/>
  <c r="D297" i="5"/>
  <c r="D344" i="5" s="1"/>
  <c r="D346" i="5" s="1"/>
  <c r="E297" i="5"/>
  <c r="F297" i="5"/>
  <c r="F344" i="5" s="1"/>
  <c r="F346" i="5" s="1"/>
  <c r="H297" i="5"/>
  <c r="I297" i="5"/>
  <c r="J297" i="5"/>
  <c r="K297" i="5"/>
  <c r="L297" i="5"/>
  <c r="M297" i="5"/>
  <c r="C291" i="5"/>
  <c r="D291" i="5"/>
  <c r="F291" i="5"/>
  <c r="G291" i="5"/>
  <c r="H291" i="5"/>
  <c r="I291" i="5"/>
  <c r="J291" i="5"/>
  <c r="K291" i="5"/>
  <c r="L291" i="5"/>
  <c r="M291" i="5"/>
  <c r="C281" i="5"/>
  <c r="F281" i="5"/>
  <c r="H281" i="5"/>
  <c r="I281" i="5"/>
  <c r="J281" i="5"/>
  <c r="K281" i="5"/>
  <c r="L281" i="5"/>
  <c r="C261" i="5"/>
  <c r="F261" i="5"/>
  <c r="H261" i="5"/>
  <c r="I261" i="5"/>
  <c r="L261" i="5"/>
  <c r="C241" i="5"/>
  <c r="C358" i="5" s="1"/>
  <c r="C364" i="5" s="1"/>
  <c r="C1862" i="5" s="1"/>
  <c r="D241" i="5"/>
  <c r="E241" i="5"/>
  <c r="F241" i="5"/>
  <c r="F358" i="5" s="1"/>
  <c r="F364" i="5" s="1"/>
  <c r="F1862" i="5" s="1"/>
  <c r="G241" i="5"/>
  <c r="H241" i="5"/>
  <c r="I241" i="5"/>
  <c r="J241" i="5"/>
  <c r="K241" i="5"/>
  <c r="K362" i="5" s="1"/>
  <c r="L241" i="5"/>
  <c r="M241" i="5"/>
  <c r="C235" i="5"/>
  <c r="E235" i="5"/>
  <c r="F235" i="5"/>
  <c r="H235" i="5"/>
  <c r="K235" i="5"/>
  <c r="L235" i="5"/>
  <c r="M235" i="5"/>
  <c r="C215" i="5"/>
  <c r="D215" i="5"/>
  <c r="E215" i="5"/>
  <c r="H215" i="5"/>
  <c r="J215" i="5"/>
  <c r="K215" i="5"/>
  <c r="L215" i="5"/>
  <c r="M215" i="5"/>
  <c r="C189" i="5"/>
  <c r="D189" i="5"/>
  <c r="E189" i="5"/>
  <c r="F189" i="5"/>
  <c r="G189" i="5"/>
  <c r="H189" i="5"/>
  <c r="I189" i="5"/>
  <c r="J189" i="5"/>
  <c r="K189" i="5"/>
  <c r="L189" i="5"/>
  <c r="M189" i="5"/>
  <c r="C178" i="5"/>
  <c r="D178" i="5"/>
  <c r="C75" i="5"/>
  <c r="D75" i="5"/>
  <c r="F75" i="5"/>
  <c r="G75" i="5"/>
  <c r="H75" i="5"/>
  <c r="J75" i="5"/>
  <c r="K75" i="5"/>
  <c r="L75" i="5"/>
  <c r="M75" i="5"/>
  <c r="C68" i="5"/>
  <c r="D68" i="5"/>
  <c r="E68" i="5"/>
  <c r="G68" i="5"/>
  <c r="H68" i="5"/>
  <c r="I68" i="5"/>
  <c r="J68" i="5"/>
  <c r="K68" i="5"/>
  <c r="L68" i="5"/>
  <c r="M68" i="5"/>
  <c r="B68" i="5"/>
  <c r="C43" i="5"/>
  <c r="E43" i="5"/>
  <c r="H43" i="5"/>
  <c r="H1858" i="5" s="1"/>
  <c r="I43" i="5"/>
  <c r="I1858" i="5" s="1"/>
  <c r="J43" i="5"/>
  <c r="J1858" i="5" s="1"/>
  <c r="K43" i="5"/>
  <c r="K1858" i="5" s="1"/>
  <c r="L43" i="5"/>
  <c r="M43" i="5"/>
  <c r="C37" i="5"/>
  <c r="E37" i="5"/>
  <c r="F37" i="5"/>
  <c r="G37" i="5"/>
  <c r="I37" i="5"/>
  <c r="J37" i="5"/>
  <c r="K37" i="5"/>
  <c r="L37" i="5"/>
  <c r="B303" i="5"/>
  <c r="B297" i="5"/>
  <c r="B291" i="5"/>
  <c r="B241" i="5"/>
  <c r="B235" i="5"/>
  <c r="B432" i="5"/>
  <c r="N431" i="5"/>
  <c r="O431" i="5" s="1"/>
  <c r="N430" i="5"/>
  <c r="O430" i="5" s="1"/>
  <c r="N427" i="5"/>
  <c r="O427" i="5" s="1"/>
  <c r="N426" i="5"/>
  <c r="O426" i="5" s="1"/>
  <c r="N425" i="5"/>
  <c r="O425" i="5" s="1"/>
  <c r="N424" i="5"/>
  <c r="O424" i="5" s="1"/>
  <c r="N422" i="5"/>
  <c r="O422" i="5" s="1"/>
  <c r="N419" i="5"/>
  <c r="O419" i="5" s="1"/>
  <c r="N417" i="5"/>
  <c r="O417" i="5" s="1"/>
  <c r="M1858" i="5" l="1"/>
  <c r="M344" i="5"/>
  <c r="M346" i="5" s="1"/>
  <c r="M362" i="5"/>
  <c r="M361" i="5"/>
  <c r="M358" i="5"/>
  <c r="M364" i="5" s="1"/>
  <c r="M1862" i="5" s="1"/>
  <c r="L362" i="5"/>
  <c r="L361" i="5"/>
  <c r="L1858" i="5"/>
  <c r="K361" i="5"/>
  <c r="J361" i="5"/>
  <c r="J362" i="5"/>
  <c r="I362" i="5"/>
  <c r="I361" i="5"/>
  <c r="H362" i="5"/>
  <c r="H361" i="5"/>
  <c r="F362" i="5"/>
  <c r="F361" i="5"/>
  <c r="G362" i="5"/>
  <c r="G361" i="5"/>
  <c r="G358" i="5"/>
  <c r="G364" i="5" s="1"/>
  <c r="G1862" i="5" s="1"/>
  <c r="E362" i="5"/>
  <c r="E358" i="5"/>
  <c r="E364" i="5" s="1"/>
  <c r="E1862" i="5" s="1"/>
  <c r="E361" i="5"/>
  <c r="E1858" i="5"/>
  <c r="E344" i="5"/>
  <c r="E346" i="5" s="1"/>
  <c r="D362" i="5"/>
  <c r="D361" i="5"/>
  <c r="D358" i="5"/>
  <c r="D364" i="5" s="1"/>
  <c r="D1862" i="5" s="1"/>
  <c r="B362" i="5"/>
  <c r="B361" i="5"/>
  <c r="C1858" i="5"/>
  <c r="C344" i="5"/>
  <c r="C346" i="5" s="1"/>
  <c r="C361" i="5"/>
  <c r="C362" i="5"/>
  <c r="O432" i="5"/>
  <c r="N432" i="5"/>
  <c r="B399" i="5"/>
  <c r="B400" i="5" s="1"/>
  <c r="N400" i="5" s="1"/>
  <c r="O400" i="5" s="1"/>
  <c r="O414" i="5" l="1"/>
  <c r="O413" i="5"/>
  <c r="O412" i="5"/>
  <c r="O411" i="5"/>
  <c r="O410" i="5"/>
  <c r="O409" i="5"/>
  <c r="O408" i="5"/>
  <c r="O407" i="5"/>
  <c r="O406" i="5"/>
  <c r="O405" i="5"/>
  <c r="O404" i="5"/>
  <c r="N403" i="5"/>
  <c r="B653" i="5"/>
  <c r="B657" i="5" s="1"/>
  <c r="N657" i="5" s="1"/>
  <c r="O657" i="5" s="1"/>
  <c r="N652" i="5"/>
  <c r="N653" i="5" s="1"/>
  <c r="B648" i="5"/>
  <c r="B656" i="5" s="1"/>
  <c r="N647" i="5"/>
  <c r="O647" i="5" s="1"/>
  <c r="N646" i="5"/>
  <c r="O646" i="5" s="1"/>
  <c r="N645" i="5"/>
  <c r="O645" i="5" s="1"/>
  <c r="B629" i="5"/>
  <c r="B633" i="5" s="1"/>
  <c r="N633" i="5" s="1"/>
  <c r="O633" i="5" s="1"/>
  <c r="N628" i="5"/>
  <c r="N629" i="5" s="1"/>
  <c r="B624" i="5"/>
  <c r="B632" i="5" s="1"/>
  <c r="N623" i="5"/>
  <c r="O623" i="5" s="1"/>
  <c r="N622" i="5"/>
  <c r="O622" i="5" s="1"/>
  <c r="N621" i="5"/>
  <c r="N597" i="5"/>
  <c r="O597" i="5" s="1"/>
  <c r="B607" i="5"/>
  <c r="B611" i="5" s="1"/>
  <c r="N611" i="5" s="1"/>
  <c r="O611" i="5" s="1"/>
  <c r="N606" i="5"/>
  <c r="N607" i="5" s="1"/>
  <c r="B602" i="5"/>
  <c r="B610" i="5" s="1"/>
  <c r="N601" i="5"/>
  <c r="O601" i="5" s="1"/>
  <c r="N600" i="5"/>
  <c r="O600" i="5" s="1"/>
  <c r="N599" i="5"/>
  <c r="O599" i="5" s="1"/>
  <c r="N598" i="5"/>
  <c r="B580" i="5"/>
  <c r="B581" i="5" s="1"/>
  <c r="N579" i="5"/>
  <c r="N580" i="5" s="1"/>
  <c r="B575" i="5"/>
  <c r="B576" i="5" s="1"/>
  <c r="N574" i="5"/>
  <c r="O574" i="5" s="1"/>
  <c r="N573" i="5"/>
  <c r="O573" i="5" s="1"/>
  <c r="N572" i="5"/>
  <c r="O572" i="5" s="1"/>
  <c r="N571" i="5"/>
  <c r="O571" i="5" s="1"/>
  <c r="O403" i="5" l="1"/>
  <c r="O415" i="5" s="1"/>
  <c r="N648" i="5"/>
  <c r="O652" i="5"/>
  <c r="O653" i="5" s="1"/>
  <c r="O648" i="5"/>
  <c r="B649" i="5"/>
  <c r="N649" i="5" s="1"/>
  <c r="O649" i="5" s="1"/>
  <c r="B654" i="5"/>
  <c r="N654" i="5" s="1"/>
  <c r="O654" i="5" s="1"/>
  <c r="N656" i="5"/>
  <c r="B658" i="5"/>
  <c r="O606" i="5"/>
  <c r="O607" i="5" s="1"/>
  <c r="B625" i="5"/>
  <c r="N625" i="5" s="1"/>
  <c r="O625" i="5" s="1"/>
  <c r="O628" i="5"/>
  <c r="O629" i="5" s="1"/>
  <c r="B603" i="5"/>
  <c r="N603" i="5" s="1"/>
  <c r="O603" i="5" s="1"/>
  <c r="B608" i="5"/>
  <c r="N608" i="5" s="1"/>
  <c r="O608" i="5" s="1"/>
  <c r="N624" i="5"/>
  <c r="N602" i="5"/>
  <c r="B630" i="5"/>
  <c r="N630" i="5" s="1"/>
  <c r="O630" i="5" s="1"/>
  <c r="N632" i="5"/>
  <c r="B634" i="5"/>
  <c r="O621" i="5"/>
  <c r="O624" i="5" s="1"/>
  <c r="B612" i="5"/>
  <c r="N610" i="5"/>
  <c r="O598" i="5"/>
  <c r="O602" i="5" s="1"/>
  <c r="B584" i="5"/>
  <c r="N584" i="5" s="1"/>
  <c r="O584" i="5" s="1"/>
  <c r="N581" i="5"/>
  <c r="O581" i="5" s="1"/>
  <c r="O575" i="5"/>
  <c r="N576" i="5"/>
  <c r="O576" i="5" s="1"/>
  <c r="N575" i="5"/>
  <c r="O579" i="5"/>
  <c r="O580" i="5" s="1"/>
  <c r="N1237" i="5"/>
  <c r="O1237" i="5" s="1"/>
  <c r="N1651" i="5"/>
  <c r="O1651" i="5" s="1"/>
  <c r="B1667" i="5"/>
  <c r="B1668" i="5" s="1"/>
  <c r="N1666" i="5"/>
  <c r="O1666" i="5" s="1"/>
  <c r="N1665" i="5"/>
  <c r="O1665" i="5" s="1"/>
  <c r="N1664" i="5"/>
  <c r="B1660" i="5"/>
  <c r="B1661" i="5" s="1"/>
  <c r="N1659" i="5"/>
  <c r="O1659" i="5" s="1"/>
  <c r="O1660" i="5" s="1"/>
  <c r="B1474" i="5"/>
  <c r="B1475" i="5" s="1"/>
  <c r="N1472" i="5"/>
  <c r="O1472" i="5" s="1"/>
  <c r="N1473" i="5"/>
  <c r="O1473" i="5" s="1"/>
  <c r="N1471" i="5"/>
  <c r="O1471" i="5" s="1"/>
  <c r="N1470" i="5"/>
  <c r="O1470" i="5" s="1"/>
  <c r="N1469" i="5"/>
  <c r="O1469" i="5" s="1"/>
  <c r="B1464" i="5"/>
  <c r="N1463" i="5"/>
  <c r="N1464" i="5" s="1"/>
  <c r="N1449" i="5"/>
  <c r="O1449" i="5" s="1"/>
  <c r="N1450" i="5"/>
  <c r="O1450" i="5" s="1"/>
  <c r="N1451" i="5"/>
  <c r="O1451" i="5" s="1"/>
  <c r="B1452" i="5"/>
  <c r="B1453" i="5" s="1"/>
  <c r="N1453" i="5" s="1"/>
  <c r="O1453" i="5" s="1"/>
  <c r="N1448" i="5"/>
  <c r="B1093" i="5"/>
  <c r="B993" i="5"/>
  <c r="N993" i="5" s="1"/>
  <c r="O993" i="5" s="1"/>
  <c r="B994" i="5"/>
  <c r="N994" i="5" s="1"/>
  <c r="O994" i="5" s="1"/>
  <c r="B995" i="5"/>
  <c r="N995" i="5" s="1"/>
  <c r="O995" i="5" s="1"/>
  <c r="B996" i="5"/>
  <c r="B997" i="5"/>
  <c r="B992" i="5"/>
  <c r="N992" i="5" s="1"/>
  <c r="O992" i="5" s="1"/>
  <c r="B1029" i="5"/>
  <c r="N1029" i="5" s="1"/>
  <c r="O1029" i="5" s="1"/>
  <c r="N1026" i="5"/>
  <c r="O1026" i="5" s="1"/>
  <c r="N1025" i="5"/>
  <c r="O1025" i="5" s="1"/>
  <c r="N1024" i="5"/>
  <c r="O1024" i="5" s="1"/>
  <c r="N1023" i="5"/>
  <c r="O1023" i="5" s="1"/>
  <c r="N1022" i="5"/>
  <c r="O1022" i="5" s="1"/>
  <c r="N1021" i="5"/>
  <c r="B1017" i="5"/>
  <c r="B1036" i="5" s="1"/>
  <c r="B1579" i="5" s="1"/>
  <c r="N1016" i="5"/>
  <c r="O1016" i="5" s="1"/>
  <c r="N1015" i="5"/>
  <c r="O1015" i="5" s="1"/>
  <c r="N1014" i="5"/>
  <c r="N1011" i="5"/>
  <c r="O1011" i="5" s="1"/>
  <c r="N1008" i="5"/>
  <c r="O1008" i="5" s="1"/>
  <c r="N1007" i="5"/>
  <c r="O1007" i="5" s="1"/>
  <c r="N1006" i="5"/>
  <c r="O1006" i="5" s="1"/>
  <c r="N1005" i="5"/>
  <c r="O1005" i="5" s="1"/>
  <c r="N1004" i="5"/>
  <c r="O1004" i="5" s="1"/>
  <c r="N1003" i="5"/>
  <c r="N997" i="5"/>
  <c r="O997" i="5" s="1"/>
  <c r="B1439" i="5"/>
  <c r="B1443" i="5" s="1"/>
  <c r="B1616" i="5" s="1"/>
  <c r="N1616" i="5" s="1"/>
  <c r="N1438" i="5"/>
  <c r="O1438" i="5" s="1"/>
  <c r="N1437" i="5"/>
  <c r="O1437" i="5" s="1"/>
  <c r="N1436" i="5"/>
  <c r="O1436" i="5" s="1"/>
  <c r="N1435" i="5"/>
  <c r="O1435" i="5" s="1"/>
  <c r="N1434" i="5"/>
  <c r="O1434" i="5" s="1"/>
  <c r="N1433" i="5"/>
  <c r="O1433" i="5" s="1"/>
  <c r="N1432" i="5"/>
  <c r="B1428" i="5"/>
  <c r="N1427" i="5"/>
  <c r="O1427" i="5" s="1"/>
  <c r="N1426" i="5"/>
  <c r="O1426" i="5" s="1"/>
  <c r="N1425" i="5"/>
  <c r="O1425" i="5" s="1"/>
  <c r="B1421" i="5"/>
  <c r="B1422" i="5" s="1"/>
  <c r="N1422" i="5" s="1"/>
  <c r="O1422" i="5" s="1"/>
  <c r="N1420" i="5"/>
  <c r="O1420" i="5" s="1"/>
  <c r="N1419" i="5"/>
  <c r="O1419" i="5" s="1"/>
  <c r="N1418" i="5"/>
  <c r="O1418" i="5" s="1"/>
  <c r="N1417" i="5"/>
  <c r="O1417" i="5" s="1"/>
  <c r="N1416" i="5"/>
  <c r="O1416" i="5" s="1"/>
  <c r="N1415" i="5"/>
  <c r="O1415" i="5" s="1"/>
  <c r="N1414" i="5"/>
  <c r="B1409" i="5"/>
  <c r="N1409" i="5" s="1"/>
  <c r="O1409" i="5" s="1"/>
  <c r="B1408" i="5"/>
  <c r="N1408" i="5" s="1"/>
  <c r="O1408" i="5" s="1"/>
  <c r="B1407" i="5"/>
  <c r="N1407" i="5" s="1"/>
  <c r="O1407" i="5" s="1"/>
  <c r="B1406" i="5"/>
  <c r="B1405" i="5"/>
  <c r="N1405" i="5" s="1"/>
  <c r="O1405" i="5" s="1"/>
  <c r="B1404" i="5"/>
  <c r="N1404" i="5" s="1"/>
  <c r="O1404" i="5" s="1"/>
  <c r="B1403" i="5"/>
  <c r="N1403" i="5" s="1"/>
  <c r="N1456" i="5"/>
  <c r="O1456" i="5" s="1"/>
  <c r="B1359" i="5"/>
  <c r="B1360" i="5"/>
  <c r="B1361" i="5"/>
  <c r="B1362" i="5"/>
  <c r="B1363" i="5"/>
  <c r="B1364" i="5"/>
  <c r="B1094" i="5"/>
  <c r="B1095" i="5"/>
  <c r="B1096" i="5"/>
  <c r="B1097" i="5"/>
  <c r="B1098" i="5"/>
  <c r="B1099" i="5"/>
  <c r="B1100" i="5"/>
  <c r="B1101" i="5"/>
  <c r="B1102" i="5"/>
  <c r="B1103" i="5"/>
  <c r="B1104" i="5"/>
  <c r="B1105" i="5"/>
  <c r="B1106" i="5"/>
  <c r="B1107" i="5"/>
  <c r="B1108" i="5"/>
  <c r="B1109" i="5"/>
  <c r="B1110" i="5"/>
  <c r="B1111" i="5"/>
  <c r="B1112" i="5"/>
  <c r="B1113" i="5"/>
  <c r="B1114" i="5"/>
  <c r="B1115" i="5"/>
  <c r="B1116" i="5"/>
  <c r="N1161" i="5"/>
  <c r="O1161" i="5" s="1"/>
  <c r="N1162" i="5"/>
  <c r="O1162" i="5" s="1"/>
  <c r="N1163" i="5"/>
  <c r="O1163" i="5" s="1"/>
  <c r="N1164" i="5"/>
  <c r="O1164" i="5" s="1"/>
  <c r="N1165" i="5"/>
  <c r="O1165" i="5" s="1"/>
  <c r="N1166" i="5"/>
  <c r="O1166" i="5" s="1"/>
  <c r="N1167" i="5"/>
  <c r="O1167" i="5" s="1"/>
  <c r="N1168" i="5"/>
  <c r="O1168" i="5" s="1"/>
  <c r="N1169" i="5"/>
  <c r="O1169" i="5" s="1"/>
  <c r="N1170" i="5"/>
  <c r="O1170" i="5" s="1"/>
  <c r="N1171" i="5"/>
  <c r="O1171" i="5" s="1"/>
  <c r="N1128" i="5"/>
  <c r="O1128" i="5" s="1"/>
  <c r="N1129" i="5"/>
  <c r="O1129" i="5" s="1"/>
  <c r="N1130" i="5"/>
  <c r="O1130" i="5" s="1"/>
  <c r="N1131" i="5"/>
  <c r="O1131" i="5" s="1"/>
  <c r="N1132" i="5"/>
  <c r="O1132" i="5" s="1"/>
  <c r="N1133" i="5"/>
  <c r="O1133" i="5" s="1"/>
  <c r="N1134" i="5"/>
  <c r="O1134" i="5" s="1"/>
  <c r="N1135" i="5"/>
  <c r="O1135" i="5" s="1"/>
  <c r="N1136" i="5"/>
  <c r="O1136" i="5" s="1"/>
  <c r="N1137" i="5"/>
  <c r="O1137" i="5" s="1"/>
  <c r="O1616" i="5" l="1"/>
  <c r="O1579" i="5"/>
  <c r="N996" i="5"/>
  <c r="O996" i="5" s="1"/>
  <c r="O999" i="5" s="1"/>
  <c r="B999" i="5"/>
  <c r="B1000" i="5" s="1"/>
  <c r="N1000" i="5" s="1"/>
  <c r="O1000" i="5" s="1"/>
  <c r="N658" i="5"/>
  <c r="O656" i="5"/>
  <c r="O658" i="5" s="1"/>
  <c r="N634" i="5"/>
  <c r="O632" i="5"/>
  <c r="O634" i="5" s="1"/>
  <c r="N612" i="5"/>
  <c r="O610" i="5"/>
  <c r="O612" i="5" s="1"/>
  <c r="N1010" i="5"/>
  <c r="N1660" i="5"/>
  <c r="N1667" i="5"/>
  <c r="N1668" i="5"/>
  <c r="O1668" i="5" s="1"/>
  <c r="O1664" i="5"/>
  <c r="O1667" i="5" s="1"/>
  <c r="N1661" i="5"/>
  <c r="O1661" i="5" s="1"/>
  <c r="O1474" i="5"/>
  <c r="O1463" i="5"/>
  <c r="O1464" i="5" s="1"/>
  <c r="N1474" i="5"/>
  <c r="N1452" i="5"/>
  <c r="O1448" i="5"/>
  <c r="O1452" i="5" s="1"/>
  <c r="N1017" i="5"/>
  <c r="B1032" i="5"/>
  <c r="N1018" i="5"/>
  <c r="O1018" i="5" s="1"/>
  <c r="N1028" i="5"/>
  <c r="N1421" i="5"/>
  <c r="O1021" i="5"/>
  <c r="O1028" i="5" s="1"/>
  <c r="O1014" i="5"/>
  <c r="O1017" i="5" s="1"/>
  <c r="O1003" i="5"/>
  <c r="O1010" i="5" s="1"/>
  <c r="O1428" i="5"/>
  <c r="O1442" i="5" s="1"/>
  <c r="B1410" i="5"/>
  <c r="B1411" i="5" s="1"/>
  <c r="N1411" i="5" s="1"/>
  <c r="O1411" i="5" s="1"/>
  <c r="B1429" i="5"/>
  <c r="N1429" i="5" s="1"/>
  <c r="O1429" i="5" s="1"/>
  <c r="N1439" i="5"/>
  <c r="N1443" i="5" s="1"/>
  <c r="B1440" i="5"/>
  <c r="N1440" i="5" s="1"/>
  <c r="O1440" i="5" s="1"/>
  <c r="O1414" i="5"/>
  <c r="O1421" i="5" s="1"/>
  <c r="N1428" i="5"/>
  <c r="N1442" i="5" s="1"/>
  <c r="O1432" i="5"/>
  <c r="O1439" i="5" s="1"/>
  <c r="O1443" i="5" s="1"/>
  <c r="B1442" i="5"/>
  <c r="O1403" i="5"/>
  <c r="N1406" i="5"/>
  <c r="O1406" i="5" s="1"/>
  <c r="N1096" i="5"/>
  <c r="O1096" i="5" s="1"/>
  <c r="N1110" i="5"/>
  <c r="O1110" i="5" s="1"/>
  <c r="N1097" i="5"/>
  <c r="O1097" i="5" s="1"/>
  <c r="N1095" i="5"/>
  <c r="O1095" i="5" s="1"/>
  <c r="N1098" i="5"/>
  <c r="O1098" i="5" s="1"/>
  <c r="N1105" i="5"/>
  <c r="O1105" i="5" s="1"/>
  <c r="N1103" i="5"/>
  <c r="O1103" i="5" s="1"/>
  <c r="N1101" i="5"/>
  <c r="O1101" i="5" s="1"/>
  <c r="N999" i="5" l="1"/>
  <c r="B1444" i="5"/>
  <c r="B1588" i="5"/>
  <c r="O1444" i="5"/>
  <c r="N1444" i="5"/>
  <c r="O1410" i="5"/>
  <c r="N1410" i="5"/>
  <c r="B1560" i="5" l="1"/>
  <c r="O1588" i="5"/>
  <c r="N1158" i="5"/>
  <c r="O1158" i="5" s="1"/>
  <c r="N1122" i="5"/>
  <c r="O1122" i="5" s="1"/>
  <c r="N1094" i="5"/>
  <c r="O1094" i="5" s="1"/>
  <c r="N1348" i="5" l="1"/>
  <c r="O1348" i="5" s="1"/>
  <c r="B1349" i="5"/>
  <c r="N1323" i="5"/>
  <c r="O1323" i="5" s="1"/>
  <c r="B1324" i="5"/>
  <c r="B1305" i="5" l="1"/>
  <c r="N1305" i="5" s="1"/>
  <c r="O1305" i="5" s="1"/>
  <c r="B1261" i="5"/>
  <c r="N1260" i="5"/>
  <c r="O1260" i="5" s="1"/>
  <c r="B1239" i="5"/>
  <c r="N1214" i="5"/>
  <c r="O1214" i="5" s="1"/>
  <c r="N1215" i="5"/>
  <c r="O1215" i="5" s="1"/>
  <c r="N1216" i="5"/>
  <c r="O1216" i="5" s="1"/>
  <c r="N1217" i="5"/>
  <c r="O1217" i="5" s="1"/>
  <c r="N1218" i="5"/>
  <c r="O1218" i="5" s="1"/>
  <c r="N1219" i="5"/>
  <c r="O1219" i="5" s="1"/>
  <c r="N1220" i="5"/>
  <c r="O1220" i="5" s="1"/>
  <c r="N1221" i="5"/>
  <c r="O1221" i="5" s="1"/>
  <c r="N1222" i="5"/>
  <c r="O1222" i="5" s="1"/>
  <c r="B1213" i="5"/>
  <c r="N1213" i="5" s="1"/>
  <c r="O1213" i="5" s="1"/>
  <c r="N1259" i="5"/>
  <c r="O1259" i="5" s="1"/>
  <c r="N1258" i="5"/>
  <c r="O1258" i="5" s="1"/>
  <c r="N1257" i="5"/>
  <c r="O1257" i="5" s="1"/>
  <c r="N1256" i="5"/>
  <c r="O1256" i="5" s="1"/>
  <c r="N1255" i="5"/>
  <c r="O1255" i="5" s="1"/>
  <c r="N1254" i="5"/>
  <c r="O1254" i="5" s="1"/>
  <c r="N1253" i="5"/>
  <c r="O1253" i="5" s="1"/>
  <c r="N1252" i="5"/>
  <c r="O1252" i="5" s="1"/>
  <c r="N1251" i="5"/>
  <c r="O1251" i="5" s="1"/>
  <c r="N1250" i="5"/>
  <c r="O1250" i="5" s="1"/>
  <c r="N1238" i="5"/>
  <c r="O1238" i="5" s="1"/>
  <c r="N1236" i="5"/>
  <c r="O1236" i="5" s="1"/>
  <c r="N1235" i="5"/>
  <c r="O1235" i="5" s="1"/>
  <c r="N1234" i="5"/>
  <c r="O1234" i="5" s="1"/>
  <c r="N1233" i="5"/>
  <c r="O1233" i="5" s="1"/>
  <c r="N1232" i="5"/>
  <c r="O1232" i="5" s="1"/>
  <c r="N1231" i="5"/>
  <c r="O1231" i="5" s="1"/>
  <c r="N1230" i="5"/>
  <c r="O1230" i="5" s="1"/>
  <c r="N1229" i="5"/>
  <c r="N1228" i="5"/>
  <c r="O1228" i="5" s="1"/>
  <c r="B747" i="5"/>
  <c r="N746" i="5"/>
  <c r="O746" i="5" s="1"/>
  <c r="N745" i="5"/>
  <c r="O745" i="5" s="1"/>
  <c r="N744" i="5"/>
  <c r="O744" i="5" s="1"/>
  <c r="B702" i="5"/>
  <c r="B706" i="5" s="1"/>
  <c r="B1594" i="5" s="1"/>
  <c r="N701" i="5"/>
  <c r="N702" i="5" s="1"/>
  <c r="B697" i="5"/>
  <c r="B705" i="5" s="1"/>
  <c r="B1566" i="5" s="1"/>
  <c r="N696" i="5"/>
  <c r="O696" i="5" s="1"/>
  <c r="N695" i="5"/>
  <c r="O695" i="5" s="1"/>
  <c r="N694" i="5"/>
  <c r="O694" i="5" s="1"/>
  <c r="N693" i="5"/>
  <c r="B759" i="5"/>
  <c r="B763" i="5" s="1"/>
  <c r="B1597" i="5" s="1"/>
  <c r="N1597" i="5" s="1"/>
  <c r="N758" i="5"/>
  <c r="N759" i="5" s="1"/>
  <c r="B754" i="5"/>
  <c r="B762" i="5" s="1"/>
  <c r="B1569" i="5" s="1"/>
  <c r="N753" i="5"/>
  <c r="O753" i="5" s="1"/>
  <c r="N752" i="5"/>
  <c r="O752" i="5" s="1"/>
  <c r="N751" i="5"/>
  <c r="B1541" i="5" l="1"/>
  <c r="N1541" i="5" s="1"/>
  <c r="O1569" i="5"/>
  <c r="N1594" i="5"/>
  <c r="O1594" i="5"/>
  <c r="O1597" i="5"/>
  <c r="O1566" i="5"/>
  <c r="B1538" i="5"/>
  <c r="N1538" i="5" s="1"/>
  <c r="N1566" i="5"/>
  <c r="O1229" i="5"/>
  <c r="O747" i="5"/>
  <c r="N747" i="5"/>
  <c r="N697" i="5"/>
  <c r="B703" i="5"/>
  <c r="O693" i="5"/>
  <c r="O697" i="5" s="1"/>
  <c r="N754" i="5"/>
  <c r="B707" i="5"/>
  <c r="O701" i="5"/>
  <c r="O702" i="5" s="1"/>
  <c r="B764" i="5"/>
  <c r="B755" i="5"/>
  <c r="B760" i="5"/>
  <c r="N763" i="5"/>
  <c r="O763" i="5" s="1"/>
  <c r="O751" i="5"/>
  <c r="O754" i="5" s="1"/>
  <c r="O758" i="5"/>
  <c r="O759" i="5" s="1"/>
  <c r="O1538" i="5" l="1"/>
  <c r="O1541" i="5"/>
  <c r="N705" i="5"/>
  <c r="O705" i="5" s="1"/>
  <c r="N760" i="5"/>
  <c r="O760" i="5" s="1"/>
  <c r="N703" i="5"/>
  <c r="O703" i="5" s="1"/>
  <c r="N698" i="5"/>
  <c r="O698" i="5" s="1"/>
  <c r="N706" i="5"/>
  <c r="O706" i="5" s="1"/>
  <c r="N762" i="5"/>
  <c r="N755" i="5"/>
  <c r="O755" i="5" s="1"/>
  <c r="O707" i="5" l="1"/>
  <c r="N707" i="5"/>
  <c r="O762" i="5"/>
  <c r="O764" i="5" s="1"/>
  <c r="N764" i="5"/>
  <c r="N396" i="5" l="1"/>
  <c r="O396" i="5" s="1"/>
  <c r="N397" i="5"/>
  <c r="O397" i="5" s="1"/>
  <c r="L1687" i="5" l="1"/>
  <c r="L1868" i="5" s="1"/>
  <c r="L351" i="5" l="1"/>
  <c r="L350" i="5"/>
  <c r="L349" i="5"/>
  <c r="L343" i="5"/>
  <c r="L342" i="5"/>
  <c r="L341" i="5"/>
  <c r="L329" i="5"/>
  <c r="L209" i="5"/>
  <c r="N94" i="5"/>
  <c r="O94" i="5" s="1"/>
  <c r="L48" i="5"/>
  <c r="L47" i="5"/>
  <c r="L46" i="5"/>
  <c r="L330" i="5" l="1"/>
  <c r="L358" i="5"/>
  <c r="L364" i="5" s="1"/>
  <c r="L1862" i="5" s="1"/>
  <c r="L344" i="5"/>
  <c r="L346" i="5" s="1"/>
  <c r="L49" i="5"/>
  <c r="L352" i="5"/>
  <c r="L1861" i="5" s="1"/>
  <c r="L1860" i="5" l="1"/>
  <c r="L1849" i="5"/>
  <c r="K1687" i="5"/>
  <c r="K1868" i="5" s="1"/>
  <c r="K341" i="5" l="1"/>
  <c r="K342" i="5"/>
  <c r="K343" i="5"/>
  <c r="K349" i="5"/>
  <c r="K350" i="5"/>
  <c r="K351" i="5"/>
  <c r="K329" i="5"/>
  <c r="K209" i="5"/>
  <c r="K46" i="5"/>
  <c r="K47" i="5"/>
  <c r="K48" i="5"/>
  <c r="K330" i="5" l="1"/>
  <c r="K358" i="5"/>
  <c r="K364" i="5" s="1"/>
  <c r="K1862" i="5" s="1"/>
  <c r="K344" i="5"/>
  <c r="K346" i="5" s="1"/>
  <c r="K49" i="5"/>
  <c r="K323" i="5"/>
  <c r="K12" i="5"/>
  <c r="K1848" i="5" s="1"/>
  <c r="K15" i="5"/>
  <c r="K16" i="5"/>
  <c r="K17" i="5"/>
  <c r="K1849" i="5" l="1"/>
  <c r="K1860" i="5"/>
  <c r="K18" i="5"/>
  <c r="K352" i="5"/>
  <c r="K1861" i="5" s="1"/>
  <c r="J1687" i="5" l="1"/>
  <c r="J1868" i="5" s="1"/>
  <c r="H350" i="5" l="1"/>
  <c r="J351" i="5" l="1"/>
  <c r="J350" i="5"/>
  <c r="J349" i="5"/>
  <c r="J343" i="5"/>
  <c r="J342" i="5"/>
  <c r="J341" i="5"/>
  <c r="J329" i="5"/>
  <c r="J209" i="5"/>
  <c r="J48" i="5"/>
  <c r="J47" i="5"/>
  <c r="J46" i="5"/>
  <c r="J17" i="5"/>
  <c r="J16" i="5"/>
  <c r="J15" i="5"/>
  <c r="J12" i="5"/>
  <c r="J1848" i="5" s="1"/>
  <c r="J330" i="5" l="1"/>
  <c r="J344" i="5"/>
  <c r="J346" i="5" s="1"/>
  <c r="J358" i="5"/>
  <c r="J364" i="5" s="1"/>
  <c r="J1862" i="5" s="1"/>
  <c r="J49" i="5"/>
  <c r="J352" i="5"/>
  <c r="J1861" i="5" s="1"/>
  <c r="J323" i="5"/>
  <c r="J18" i="5"/>
  <c r="J1849" i="5" l="1"/>
  <c r="J1860" i="5"/>
  <c r="I351" i="5"/>
  <c r="I350" i="5"/>
  <c r="I349" i="5"/>
  <c r="I343" i="5"/>
  <c r="I342" i="5"/>
  <c r="I341" i="5"/>
  <c r="I329" i="5"/>
  <c r="I209" i="5"/>
  <c r="N143" i="5"/>
  <c r="O143" i="5" s="1"/>
  <c r="I344" i="5" l="1"/>
  <c r="I346" i="5" s="1"/>
  <c r="I358" i="5"/>
  <c r="I364" i="5" s="1"/>
  <c r="I1862" i="5" s="1"/>
  <c r="I330" i="5"/>
  <c r="I46" i="5"/>
  <c r="I47" i="5"/>
  <c r="I48" i="5"/>
  <c r="I49" i="5" l="1"/>
  <c r="I352" i="5"/>
  <c r="I1861" i="5" s="1"/>
  <c r="I1860" i="5" l="1"/>
  <c r="I1849" i="5"/>
  <c r="H1687" i="5"/>
  <c r="H1868" i="5" s="1"/>
  <c r="H349" i="5" l="1"/>
  <c r="H351" i="5"/>
  <c r="H341" i="5"/>
  <c r="H342" i="5"/>
  <c r="H343" i="5"/>
  <c r="H329" i="5"/>
  <c r="H209" i="5"/>
  <c r="H46" i="5"/>
  <c r="H47" i="5"/>
  <c r="H48" i="5"/>
  <c r="H358" i="5" l="1"/>
  <c r="H364" i="5" s="1"/>
  <c r="H1862" i="5" s="1"/>
  <c r="H330" i="5"/>
  <c r="H344" i="5"/>
  <c r="H346" i="5" s="1"/>
  <c r="H49" i="5"/>
  <c r="H1849" i="5" l="1"/>
  <c r="H1860" i="5"/>
  <c r="H352" i="5"/>
  <c r="H1861" i="5" s="1"/>
  <c r="N318" i="5" l="1"/>
  <c r="G1687" i="5" l="1"/>
  <c r="G1868" i="5" s="1"/>
  <c r="G351" i="5" l="1"/>
  <c r="G350" i="5"/>
  <c r="G349" i="5"/>
  <c r="G341" i="5"/>
  <c r="G342" i="5"/>
  <c r="G343" i="5"/>
  <c r="O318" i="5"/>
  <c r="N125" i="5"/>
  <c r="O125" i="5" s="1"/>
  <c r="G46" i="5"/>
  <c r="G47" i="5"/>
  <c r="G48" i="5"/>
  <c r="G49" i="5" l="1"/>
  <c r="G323" i="5"/>
  <c r="G352" i="5"/>
  <c r="G1861" i="5" s="1"/>
  <c r="G1860" i="5" l="1"/>
  <c r="G1849" i="5"/>
  <c r="N1504" i="5"/>
  <c r="O1504" i="5" s="1"/>
  <c r="N1503" i="5"/>
  <c r="O1503" i="5" s="1"/>
  <c r="F1868" i="5" l="1"/>
  <c r="F349" i="5" l="1"/>
  <c r="F350" i="5"/>
  <c r="F351" i="5"/>
  <c r="F341" i="5"/>
  <c r="F342" i="5"/>
  <c r="F343" i="5"/>
  <c r="F209" i="5"/>
  <c r="F46" i="5" l="1"/>
  <c r="F47" i="5"/>
  <c r="F48" i="5"/>
  <c r="F49" i="5" l="1"/>
  <c r="F1849" i="5" l="1"/>
  <c r="F1860" i="5"/>
  <c r="F352" i="5"/>
  <c r="F1861" i="5" s="1"/>
  <c r="E341" i="5" l="1"/>
  <c r="E342" i="5"/>
  <c r="E343" i="5"/>
  <c r="N166" i="5"/>
  <c r="O166" i="5" s="1"/>
  <c r="N90" i="5"/>
  <c r="O90" i="5" s="1"/>
  <c r="E46" i="5"/>
  <c r="E47" i="5"/>
  <c r="E48" i="5"/>
  <c r="E49" i="5" l="1"/>
  <c r="E1860" i="5" l="1"/>
  <c r="E1849" i="5"/>
  <c r="D351" i="5"/>
  <c r="D350" i="5"/>
  <c r="D349" i="5"/>
  <c r="D343" i="5"/>
  <c r="D342" i="5"/>
  <c r="D341" i="5"/>
  <c r="D209" i="5"/>
  <c r="N205" i="5"/>
  <c r="O205" i="5" s="1"/>
  <c r="N144" i="5"/>
  <c r="O144" i="5" s="1"/>
  <c r="N119" i="5"/>
  <c r="O119" i="5" s="1"/>
  <c r="N104" i="5"/>
  <c r="O104" i="5" s="1"/>
  <c r="N82" i="5"/>
  <c r="O82" i="5" s="1"/>
  <c r="E8" i="9"/>
  <c r="E7" i="9"/>
  <c r="E6" i="9"/>
  <c r="D352" i="5" l="1"/>
  <c r="D1861" i="5" s="1"/>
  <c r="N80" i="5" l="1"/>
  <c r="O80" i="5" s="1"/>
  <c r="N83" i="5"/>
  <c r="O83" i="5" s="1"/>
  <c r="C209" i="5" l="1"/>
  <c r="N108" i="5"/>
  <c r="O108" i="5" s="1"/>
  <c r="N100" i="5"/>
  <c r="O100" i="5" s="1"/>
  <c r="C48" i="5"/>
  <c r="C47" i="5"/>
  <c r="C46" i="5"/>
  <c r="C49" i="5" l="1"/>
  <c r="C350" i="5"/>
  <c r="C342" i="5"/>
  <c r="C341" i="5"/>
  <c r="C343" i="5"/>
  <c r="C349" i="5"/>
  <c r="C351" i="5"/>
  <c r="C17" i="5"/>
  <c r="D8" i="9" s="1"/>
  <c r="C16" i="5"/>
  <c r="D7" i="9" s="1"/>
  <c r="C15" i="5"/>
  <c r="D6" i="9" s="1"/>
  <c r="C1860" i="5" l="1"/>
  <c r="C1849" i="5"/>
  <c r="C18" i="5"/>
  <c r="C352" i="5"/>
  <c r="C1861" i="5" s="1"/>
  <c r="B679" i="5" l="1"/>
  <c r="N1725" i="5" l="1"/>
  <c r="O1725" i="5" s="1"/>
  <c r="N1726" i="5"/>
  <c r="O1726" i="5" s="1"/>
  <c r="N1727" i="5"/>
  <c r="O1727" i="5" s="1"/>
  <c r="N1728" i="5"/>
  <c r="O1728" i="5" s="1"/>
  <c r="N1729" i="5"/>
  <c r="O1729" i="5" s="1"/>
  <c r="N1730" i="5"/>
  <c r="O1730" i="5" s="1"/>
  <c r="N1731" i="5"/>
  <c r="O1731" i="5" s="1"/>
  <c r="N1732" i="5"/>
  <c r="O1732" i="5" s="1"/>
  <c r="N1733" i="5"/>
  <c r="O1733" i="5" s="1"/>
  <c r="N1734" i="5"/>
  <c r="O1734" i="5" s="1"/>
  <c r="N1735" i="5"/>
  <c r="O1735" i="5" s="1"/>
  <c r="N1736" i="5"/>
  <c r="O1736" i="5" s="1"/>
  <c r="N1737" i="5"/>
  <c r="O1737" i="5" s="1"/>
  <c r="N1738" i="5"/>
  <c r="O1738" i="5" s="1"/>
  <c r="N1739" i="5"/>
  <c r="O1739" i="5" s="1"/>
  <c r="N1743" i="5"/>
  <c r="O1743" i="5" s="1"/>
  <c r="N1744" i="5"/>
  <c r="O1744" i="5" s="1"/>
  <c r="N1745" i="5"/>
  <c r="O1745" i="5" s="1"/>
  <c r="N1746" i="5"/>
  <c r="O1746" i="5" s="1"/>
  <c r="N1747" i="5"/>
  <c r="O1747" i="5" s="1"/>
  <c r="N1748" i="5"/>
  <c r="O1748" i="5" s="1"/>
  <c r="N1749" i="5"/>
  <c r="O1749" i="5" s="1"/>
  <c r="N1750" i="5"/>
  <c r="O1750" i="5" s="1"/>
  <c r="N1751" i="5"/>
  <c r="O1751" i="5" s="1"/>
  <c r="N1752" i="5"/>
  <c r="O1752" i="5" s="1"/>
  <c r="N1753" i="5"/>
  <c r="O1753" i="5" s="1"/>
  <c r="N1754" i="5"/>
  <c r="O1754" i="5" s="1"/>
  <c r="N1755" i="5"/>
  <c r="O1755" i="5" s="1"/>
  <c r="N1756" i="5"/>
  <c r="O1756" i="5" s="1"/>
  <c r="N1757" i="5"/>
  <c r="O1757" i="5" s="1"/>
  <c r="N1758" i="5"/>
  <c r="O1758" i="5" s="1"/>
  <c r="N1759" i="5"/>
  <c r="O1759" i="5" s="1"/>
  <c r="N1760" i="5"/>
  <c r="O1760" i="5" s="1"/>
  <c r="N1761" i="5"/>
  <c r="O1761" i="5" s="1"/>
  <c r="N1762" i="5"/>
  <c r="O1762" i="5" s="1"/>
  <c r="N1763" i="5"/>
  <c r="O1763" i="5" s="1"/>
  <c r="N1764" i="5"/>
  <c r="O1764" i="5" s="1"/>
  <c r="N1765" i="5"/>
  <c r="O1765" i="5" s="1"/>
  <c r="N1767" i="5"/>
  <c r="O1767" i="5" s="1"/>
  <c r="N1768" i="5"/>
  <c r="O1768" i="5" s="1"/>
  <c r="N1769" i="5"/>
  <c r="O1769" i="5" s="1"/>
  <c r="N1770" i="5"/>
  <c r="O1770" i="5" s="1"/>
  <c r="N1771" i="5"/>
  <c r="O1771" i="5" s="1"/>
  <c r="N1772" i="5"/>
  <c r="O1772" i="5" s="1"/>
  <c r="N1773" i="5"/>
  <c r="O1773" i="5" s="1"/>
  <c r="B459" i="5" l="1"/>
  <c r="B461" i="5" s="1"/>
  <c r="B719" i="5" l="1"/>
  <c r="B720" i="5" s="1"/>
  <c r="B736" i="5"/>
  <c r="B714" i="5"/>
  <c r="N728" i="5"/>
  <c r="O728" i="5" s="1"/>
  <c r="N729" i="5"/>
  <c r="O729" i="5" s="1"/>
  <c r="N718" i="5"/>
  <c r="O718" i="5" s="1"/>
  <c r="O719" i="5" s="1"/>
  <c r="N713" i="5"/>
  <c r="O713" i="5" s="1"/>
  <c r="N712" i="5"/>
  <c r="O712" i="5" s="1"/>
  <c r="N711" i="5"/>
  <c r="O711" i="5" s="1"/>
  <c r="B740" i="5" l="1"/>
  <c r="B1596" i="5" s="1"/>
  <c r="N1596" i="5" s="1"/>
  <c r="B737" i="5"/>
  <c r="B722" i="5"/>
  <c r="B1567" i="5" s="1"/>
  <c r="B723" i="5"/>
  <c r="B1595" i="5" s="1"/>
  <c r="N1595" i="5" s="1"/>
  <c r="O714" i="5"/>
  <c r="N714" i="5"/>
  <c r="N719" i="5"/>
  <c r="O1595" i="5" l="1"/>
  <c r="B1539" i="5"/>
  <c r="O1567" i="5"/>
  <c r="O1596" i="5"/>
  <c r="N1567" i="5"/>
  <c r="N722" i="5"/>
  <c r="O722" i="5" s="1"/>
  <c r="B724" i="5"/>
  <c r="N720" i="5"/>
  <c r="O720" i="5" s="1"/>
  <c r="N723" i="5"/>
  <c r="O723" i="5" s="1"/>
  <c r="N715" i="5"/>
  <c r="O715" i="5" s="1"/>
  <c r="O1539" i="5" l="1"/>
  <c r="N1539" i="5"/>
  <c r="O724" i="5"/>
  <c r="N724" i="5"/>
  <c r="K333" i="5" l="1"/>
  <c r="K334" i="5"/>
  <c r="L334" i="5"/>
  <c r="K335" i="5"/>
  <c r="L335" i="5"/>
  <c r="J335" i="5" l="1"/>
  <c r="J334" i="5"/>
  <c r="J333" i="5"/>
  <c r="J336" i="5" l="1"/>
  <c r="J338" i="5"/>
  <c r="J1859" i="5" s="1"/>
  <c r="I335" i="5" l="1"/>
  <c r="I334" i="5"/>
  <c r="I333" i="5" l="1"/>
  <c r="N1569" i="5"/>
  <c r="N88" i="5" l="1"/>
  <c r="O88" i="5" s="1"/>
  <c r="N89" i="5"/>
  <c r="O89" i="5" s="1"/>
  <c r="N93" i="5"/>
  <c r="O93" i="5" s="1"/>
  <c r="N97" i="5"/>
  <c r="O97" i="5" s="1"/>
  <c r="N99" i="5"/>
  <c r="O99" i="5" s="1"/>
  <c r="N102" i="5"/>
  <c r="O102" i="5" s="1"/>
  <c r="N103" i="5"/>
  <c r="O103" i="5" s="1"/>
  <c r="N109" i="5"/>
  <c r="O109" i="5" s="1"/>
  <c r="N117" i="5"/>
  <c r="O117" i="5" s="1"/>
  <c r="N120" i="5"/>
  <c r="O120" i="5" s="1"/>
  <c r="N123" i="5"/>
  <c r="O123" i="5" s="1"/>
  <c r="N124" i="5"/>
  <c r="O124" i="5" s="1"/>
  <c r="N127" i="5"/>
  <c r="O127" i="5" s="1"/>
  <c r="N137" i="5"/>
  <c r="O137" i="5" s="1"/>
  <c r="N140" i="5"/>
  <c r="N142" i="5"/>
  <c r="O142" i="5" s="1"/>
  <c r="N149" i="5"/>
  <c r="O149" i="5" s="1"/>
  <c r="N150" i="5"/>
  <c r="O150" i="5" s="1"/>
  <c r="N156" i="5"/>
  <c r="O156" i="5" s="1"/>
  <c r="N165" i="5"/>
  <c r="O165" i="5" s="1"/>
  <c r="N169" i="5"/>
  <c r="O169" i="5" s="1"/>
  <c r="N174" i="5"/>
  <c r="O174" i="5" s="1"/>
  <c r="O140" i="5" l="1"/>
  <c r="H335" i="5" l="1"/>
  <c r="H5" i="8" s="1"/>
  <c r="H334" i="5"/>
  <c r="H4" i="8" s="1"/>
  <c r="H333" i="5"/>
  <c r="H3" i="8" s="1"/>
  <c r="N1794" i="5" l="1"/>
  <c r="O1794" i="5" s="1"/>
  <c r="N1797" i="5" l="1"/>
  <c r="O1797" i="5" s="1"/>
  <c r="N1779" i="5"/>
  <c r="O1779" i="5" s="1"/>
  <c r="N1780" i="5"/>
  <c r="O1780" i="5" s="1"/>
  <c r="N1781" i="5"/>
  <c r="O1781" i="5" s="1"/>
  <c r="N1782" i="5"/>
  <c r="O1782" i="5" s="1"/>
  <c r="N1783" i="5"/>
  <c r="O1783" i="5" s="1"/>
  <c r="N1784" i="5"/>
  <c r="O1784" i="5" s="1"/>
  <c r="N1785" i="5"/>
  <c r="O1785" i="5" s="1"/>
  <c r="N1786" i="5"/>
  <c r="O1786" i="5" s="1"/>
  <c r="N1787" i="5"/>
  <c r="O1787" i="5" s="1"/>
  <c r="N1788" i="5"/>
  <c r="O1788" i="5" s="1"/>
  <c r="N1789" i="5"/>
  <c r="O1789" i="5" s="1"/>
  <c r="N1790" i="5"/>
  <c r="O1790" i="5" s="1"/>
  <c r="N1791" i="5"/>
  <c r="O1791" i="5" s="1"/>
  <c r="N1792" i="5"/>
  <c r="O1792" i="5" s="1"/>
  <c r="N1793" i="5"/>
  <c r="O1793" i="5" s="1"/>
  <c r="N1795" i="5"/>
  <c r="O1795" i="5" s="1"/>
  <c r="N1796" i="5"/>
  <c r="O1796" i="5" s="1"/>
  <c r="N1798" i="5"/>
  <c r="O1798" i="5" s="1"/>
  <c r="N1799" i="5"/>
  <c r="O1799" i="5" s="1"/>
  <c r="N1800" i="5"/>
  <c r="O1800" i="5" s="1"/>
  <c r="N1801" i="5"/>
  <c r="O1801" i="5" s="1"/>
  <c r="N1802" i="5"/>
  <c r="O1802" i="5" s="1"/>
  <c r="N1803" i="5"/>
  <c r="O1803" i="5" s="1"/>
  <c r="N1804" i="5"/>
  <c r="O1804" i="5" s="1"/>
  <c r="N1805" i="5"/>
  <c r="O1805" i="5" s="1"/>
  <c r="N1806" i="5"/>
  <c r="O1806" i="5" s="1"/>
  <c r="N1807" i="5"/>
  <c r="O1807" i="5" s="1"/>
  <c r="N1808" i="5"/>
  <c r="O1808" i="5" s="1"/>
  <c r="N1809" i="5"/>
  <c r="O1809" i="5" s="1"/>
  <c r="N1810" i="5"/>
  <c r="O1810" i="5" s="1"/>
  <c r="N1811" i="5"/>
  <c r="O1811" i="5" s="1"/>
  <c r="N1812" i="5"/>
  <c r="O1812" i="5" s="1"/>
  <c r="N1813" i="5"/>
  <c r="O1813" i="5" s="1"/>
  <c r="N1814" i="5"/>
  <c r="O1814" i="5" s="1"/>
  <c r="N1815" i="5"/>
  <c r="O1815" i="5" s="1"/>
  <c r="B1819" i="5"/>
  <c r="B1854" i="5" s="1"/>
  <c r="B1852" i="5" l="1"/>
  <c r="N1465" i="5" s="1"/>
  <c r="O1465" i="5" s="1"/>
  <c r="B1851" i="5"/>
  <c r="B1853" i="5"/>
  <c r="B1820" i="5"/>
  <c r="O1560" i="5" l="1"/>
  <c r="N1588" i="5"/>
  <c r="N1560" i="5" l="1"/>
  <c r="N301" i="5"/>
  <c r="O301" i="5" s="1"/>
  <c r="N302" i="5"/>
  <c r="O302" i="5" s="1"/>
  <c r="N295" i="5"/>
  <c r="O295" i="5" s="1"/>
  <c r="N296" i="5"/>
  <c r="O296" i="5" s="1"/>
  <c r="N285" i="5"/>
  <c r="O285" i="5" s="1"/>
  <c r="N286" i="5"/>
  <c r="O286" i="5" s="1"/>
  <c r="N287" i="5"/>
  <c r="O287" i="5" s="1"/>
  <c r="N288" i="5"/>
  <c r="O288" i="5" s="1"/>
  <c r="N289" i="5"/>
  <c r="O289" i="5" s="1"/>
  <c r="N290" i="5"/>
  <c r="O290" i="5" s="1"/>
  <c r="N265" i="5"/>
  <c r="O265" i="5" s="1"/>
  <c r="N266" i="5"/>
  <c r="O266" i="5" s="1"/>
  <c r="N267" i="5"/>
  <c r="O267" i="5" s="1"/>
  <c r="N268" i="5"/>
  <c r="O268" i="5" s="1"/>
  <c r="N269" i="5"/>
  <c r="O269" i="5" s="1"/>
  <c r="N270" i="5"/>
  <c r="O270" i="5" s="1"/>
  <c r="N271" i="5"/>
  <c r="O271" i="5" s="1"/>
  <c r="N272" i="5"/>
  <c r="O272" i="5" s="1"/>
  <c r="N273" i="5"/>
  <c r="O273" i="5" s="1"/>
  <c r="N274" i="5"/>
  <c r="O274" i="5" s="1"/>
  <c r="N275" i="5"/>
  <c r="O275" i="5" s="1"/>
  <c r="N276" i="5"/>
  <c r="O276" i="5" s="1"/>
  <c r="N278" i="5"/>
  <c r="O278" i="5" s="1"/>
  <c r="N279" i="5"/>
  <c r="O279" i="5" s="1"/>
  <c r="N280" i="5"/>
  <c r="O280" i="5" s="1"/>
  <c r="N245" i="5"/>
  <c r="O245" i="5" s="1"/>
  <c r="N246" i="5"/>
  <c r="O246" i="5" s="1"/>
  <c r="N247" i="5"/>
  <c r="O247" i="5" s="1"/>
  <c r="N248" i="5"/>
  <c r="O248" i="5" s="1"/>
  <c r="N249" i="5"/>
  <c r="O249" i="5" s="1"/>
  <c r="N250" i="5"/>
  <c r="O250" i="5" s="1"/>
  <c r="N251" i="5"/>
  <c r="O251" i="5" s="1"/>
  <c r="N252" i="5"/>
  <c r="O252" i="5" s="1"/>
  <c r="N253" i="5"/>
  <c r="O253" i="5" s="1"/>
  <c r="N254" i="5"/>
  <c r="O254" i="5" s="1"/>
  <c r="N255" i="5"/>
  <c r="O255" i="5" s="1"/>
  <c r="N256" i="5"/>
  <c r="O256" i="5" s="1"/>
  <c r="N258" i="5"/>
  <c r="O258" i="5" s="1"/>
  <c r="N259" i="5"/>
  <c r="O259" i="5" s="1"/>
  <c r="N260" i="5"/>
  <c r="O260" i="5" s="1"/>
  <c r="N239" i="5"/>
  <c r="O239" i="5" s="1"/>
  <c r="N240" i="5"/>
  <c r="O240" i="5" s="1"/>
  <c r="N213" i="5"/>
  <c r="O213" i="5" s="1"/>
  <c r="N214" i="5"/>
  <c r="O214" i="5" s="1"/>
  <c r="N208" i="5"/>
  <c r="O208" i="5" s="1"/>
  <c r="N193" i="5"/>
  <c r="O193" i="5" s="1"/>
  <c r="N194" i="5"/>
  <c r="O194" i="5" s="1"/>
  <c r="N195" i="5"/>
  <c r="O195" i="5" s="1"/>
  <c r="N196" i="5"/>
  <c r="O196" i="5" s="1"/>
  <c r="N197" i="5"/>
  <c r="O197" i="5" s="1"/>
  <c r="N198" i="5"/>
  <c r="O198" i="5" s="1"/>
  <c r="N199" i="5"/>
  <c r="O199" i="5" s="1"/>
  <c r="N200" i="5"/>
  <c r="O200" i="5" s="1"/>
  <c r="N201" i="5"/>
  <c r="O201" i="5" s="1"/>
  <c r="N202" i="5"/>
  <c r="O202" i="5" s="1"/>
  <c r="N203" i="5"/>
  <c r="O203" i="5" s="1"/>
  <c r="N204" i="5"/>
  <c r="O204" i="5" s="1"/>
  <c r="N206" i="5"/>
  <c r="O206" i="5" s="1"/>
  <c r="N207" i="5"/>
  <c r="O207" i="5" s="1"/>
  <c r="N182" i="5"/>
  <c r="O182" i="5" s="1"/>
  <c r="N183" i="5"/>
  <c r="O183" i="5" s="1"/>
  <c r="N184" i="5"/>
  <c r="O184" i="5" s="1"/>
  <c r="N185" i="5"/>
  <c r="O185" i="5" s="1"/>
  <c r="N186" i="5"/>
  <c r="O186" i="5" s="1"/>
  <c r="N187" i="5"/>
  <c r="O187" i="5" s="1"/>
  <c r="N188" i="5"/>
  <c r="O188" i="5" s="1"/>
  <c r="N72" i="5"/>
  <c r="O72" i="5" s="1"/>
  <c r="N73" i="5"/>
  <c r="O73" i="5" s="1"/>
  <c r="N53" i="5"/>
  <c r="O53" i="5" s="1"/>
  <c r="N54" i="5"/>
  <c r="O54" i="5" s="1"/>
  <c r="N55" i="5"/>
  <c r="O55" i="5" s="1"/>
  <c r="N56" i="5"/>
  <c r="O56" i="5" s="1"/>
  <c r="N57" i="5"/>
  <c r="O57" i="5" s="1"/>
  <c r="N58" i="5"/>
  <c r="O58" i="5" s="1"/>
  <c r="N59" i="5"/>
  <c r="O59" i="5" s="1"/>
  <c r="N60" i="5"/>
  <c r="O60" i="5" s="1"/>
  <c r="N61" i="5"/>
  <c r="O61" i="5" s="1"/>
  <c r="N62" i="5"/>
  <c r="O62" i="5" s="1"/>
  <c r="N63" i="5"/>
  <c r="O63" i="5" s="1"/>
  <c r="N64" i="5"/>
  <c r="O64" i="5" s="1"/>
  <c r="N65" i="5"/>
  <c r="O65" i="5" s="1"/>
  <c r="N66" i="5"/>
  <c r="O66" i="5" s="1"/>
  <c r="N67" i="5"/>
  <c r="O67" i="5" s="1"/>
  <c r="N52" i="5"/>
  <c r="N41" i="5"/>
  <c r="O41" i="5" s="1"/>
  <c r="N42" i="5"/>
  <c r="O42" i="5" s="1"/>
  <c r="N22" i="5"/>
  <c r="O22" i="5" s="1"/>
  <c r="N23" i="5"/>
  <c r="O23" i="5" s="1"/>
  <c r="N24" i="5"/>
  <c r="O24" i="5" s="1"/>
  <c r="N25" i="5"/>
  <c r="O25" i="5" s="1"/>
  <c r="N26" i="5"/>
  <c r="O26" i="5" s="1"/>
  <c r="N27" i="5"/>
  <c r="O27" i="5" s="1"/>
  <c r="N28" i="5"/>
  <c r="O28" i="5" s="1"/>
  <c r="N29" i="5"/>
  <c r="O29" i="5" s="1"/>
  <c r="N30" i="5"/>
  <c r="O30" i="5" s="1"/>
  <c r="N31" i="5"/>
  <c r="O31" i="5" s="1"/>
  <c r="N32" i="5"/>
  <c r="O32" i="5" s="1"/>
  <c r="N33" i="5"/>
  <c r="O33" i="5" s="1"/>
  <c r="N34" i="5"/>
  <c r="O34" i="5" s="1"/>
  <c r="N35" i="5"/>
  <c r="O35" i="5" s="1"/>
  <c r="N36" i="5"/>
  <c r="O36" i="5" s="1"/>
  <c r="N10" i="5"/>
  <c r="O10" i="5" s="1"/>
  <c r="N11" i="5"/>
  <c r="O11" i="5" s="1"/>
  <c r="N563" i="5" l="1"/>
  <c r="O563" i="5" s="1"/>
  <c r="G3" i="11" l="1"/>
  <c r="G5" i="11" l="1"/>
  <c r="G4" i="11"/>
  <c r="N234" i="5"/>
  <c r="O234" i="5" s="1"/>
  <c r="N232" i="5"/>
  <c r="O232" i="5" s="1"/>
  <c r="N229" i="5"/>
  <c r="O229" i="5" s="1"/>
  <c r="N226" i="5"/>
  <c r="O226" i="5" s="1"/>
  <c r="N224" i="5"/>
  <c r="O224" i="5" s="1"/>
  <c r="N222" i="5"/>
  <c r="O222" i="5" s="1"/>
  <c r="N220" i="5"/>
  <c r="O220" i="5" s="1"/>
  <c r="N233" i="5"/>
  <c r="O233" i="5" s="1"/>
  <c r="N230" i="5"/>
  <c r="O230" i="5" s="1"/>
  <c r="N228" i="5"/>
  <c r="O228" i="5" s="1"/>
  <c r="N227" i="5"/>
  <c r="O227" i="5" s="1"/>
  <c r="N225" i="5"/>
  <c r="O225" i="5" s="1"/>
  <c r="N223" i="5"/>
  <c r="O223" i="5" s="1"/>
  <c r="N221" i="5"/>
  <c r="O221" i="5" s="1"/>
  <c r="N219" i="5"/>
  <c r="O219" i="5" s="1"/>
  <c r="B46" i="5" l="1"/>
  <c r="G333" i="5" l="1"/>
  <c r="G335" i="5"/>
  <c r="G334" i="5"/>
  <c r="N1191" i="5" l="1"/>
  <c r="O1191" i="5" s="1"/>
  <c r="N1192" i="5"/>
  <c r="O1192" i="5" s="1"/>
  <c r="N1570" i="5"/>
  <c r="N181" i="5" l="1"/>
  <c r="B1720" i="5" l="1"/>
  <c r="N589" i="5"/>
  <c r="O589" i="5" s="1"/>
  <c r="N590" i="5"/>
  <c r="O590" i="5" s="1"/>
  <c r="N591" i="5"/>
  <c r="O591" i="5" s="1"/>
  <c r="N592" i="5"/>
  <c r="O592" i="5" s="1"/>
  <c r="N676" i="5"/>
  <c r="O676" i="5" s="1"/>
  <c r="N677" i="5"/>
  <c r="O677" i="5" s="1"/>
  <c r="N678" i="5"/>
  <c r="O678" i="5" s="1"/>
  <c r="B1278" i="5" l="1"/>
  <c r="B1523" i="5" l="1"/>
  <c r="B1079" i="5"/>
  <c r="B1062" i="5"/>
  <c r="B1045" i="5"/>
  <c r="B978" i="5"/>
  <c r="B954" i="5"/>
  <c r="B955" i="5" s="1"/>
  <c r="N955" i="5" s="1"/>
  <c r="O955" i="5" s="1"/>
  <c r="B819" i="5"/>
  <c r="O1542" i="5" l="1"/>
  <c r="N1542" i="5"/>
  <c r="B309" i="5"/>
  <c r="B312" i="5"/>
  <c r="B355" i="5"/>
  <c r="B321" i="5"/>
  <c r="B320" i="5"/>
  <c r="B317" i="5"/>
  <c r="B316" i="5"/>
  <c r="B315" i="5"/>
  <c r="B314" i="5"/>
  <c r="B313" i="5"/>
  <c r="B310" i="5"/>
  <c r="B307" i="5"/>
  <c r="B308" i="5"/>
  <c r="B323" i="5" l="1"/>
  <c r="N307" i="5"/>
  <c r="O307" i="5" s="1"/>
  <c r="N308" i="5"/>
  <c r="O308" i="5" s="1"/>
  <c r="N309" i="5"/>
  <c r="O309" i="5" s="1"/>
  <c r="N310" i="5"/>
  <c r="O310" i="5" s="1"/>
  <c r="N311" i="5"/>
  <c r="O311" i="5" s="1"/>
  <c r="N312" i="5"/>
  <c r="O312" i="5" s="1"/>
  <c r="N313" i="5"/>
  <c r="O313" i="5" s="1"/>
  <c r="N314" i="5"/>
  <c r="O314" i="5" s="1"/>
  <c r="N315" i="5"/>
  <c r="O315" i="5" s="1"/>
  <c r="N316" i="5"/>
  <c r="O316" i="5" s="1"/>
  <c r="N317" i="5"/>
  <c r="O317" i="5" s="1"/>
  <c r="N319" i="5"/>
  <c r="O319" i="5" s="1"/>
  <c r="N320" i="5"/>
  <c r="O320" i="5" s="1"/>
  <c r="N321" i="5"/>
  <c r="O321" i="5" s="1"/>
  <c r="N322" i="5"/>
  <c r="O322" i="5" s="1"/>
  <c r="N328" i="5" l="1"/>
  <c r="O328" i="5" s="1"/>
  <c r="B357" i="5"/>
  <c r="N327" i="5"/>
  <c r="O327" i="5" s="1"/>
  <c r="B356" i="5"/>
  <c r="N78" i="5"/>
  <c r="N178" i="5" s="1"/>
  <c r="C334" i="5"/>
  <c r="I4" i="9" s="1"/>
  <c r="D334" i="5"/>
  <c r="J4" i="9" s="1"/>
  <c r="C335" i="5"/>
  <c r="I5" i="9" s="1"/>
  <c r="D335" i="5"/>
  <c r="J5" i="9" s="1"/>
  <c r="B17" i="5"/>
  <c r="C8" i="9" s="1"/>
  <c r="B16" i="5"/>
  <c r="C7" i="9" s="1"/>
  <c r="C333" i="5"/>
  <c r="D333" i="5"/>
  <c r="B15" i="5"/>
  <c r="C6" i="9" s="1"/>
  <c r="D3" i="8" l="1"/>
  <c r="J3" i="9"/>
  <c r="C3" i="8"/>
  <c r="I3" i="9"/>
  <c r="B333" i="5"/>
  <c r="H3" i="9" s="1"/>
  <c r="D5" i="8"/>
  <c r="D4" i="8"/>
  <c r="F333" i="5"/>
  <c r="F3" i="8" s="1"/>
  <c r="B334" i="5"/>
  <c r="H4" i="9" s="1"/>
  <c r="F335" i="5"/>
  <c r="F334" i="5"/>
  <c r="E333" i="5"/>
  <c r="E3" i="8" s="1"/>
  <c r="B335" i="5"/>
  <c r="H5" i="9" s="1"/>
  <c r="E335" i="5"/>
  <c r="E334" i="5"/>
  <c r="C5" i="8"/>
  <c r="C4" i="8"/>
  <c r="O78" i="5"/>
  <c r="O178" i="5" s="1"/>
  <c r="B923" i="5"/>
  <c r="B1603" i="5" s="1"/>
  <c r="N1603" i="5" s="1"/>
  <c r="B919" i="5"/>
  <c r="N918" i="5"/>
  <c r="O918" i="5" s="1"/>
  <c r="O919" i="5" s="1"/>
  <c r="B914" i="5"/>
  <c r="B922" i="5" s="1"/>
  <c r="B1575" i="5" s="1"/>
  <c r="N913" i="5"/>
  <c r="O913" i="5" s="1"/>
  <c r="N912" i="5"/>
  <c r="O912" i="5" s="1"/>
  <c r="N911" i="5"/>
  <c r="O911" i="5" s="1"/>
  <c r="B1084" i="5"/>
  <c r="N1083" i="5"/>
  <c r="O1083" i="5" s="1"/>
  <c r="O1084" i="5" s="1"/>
  <c r="N1078" i="5"/>
  <c r="O1078" i="5" s="1"/>
  <c r="N1077" i="5"/>
  <c r="O1077" i="5" s="1"/>
  <c r="N1076" i="5"/>
  <c r="O1076" i="5" s="1"/>
  <c r="N544" i="5"/>
  <c r="O544" i="5" s="1"/>
  <c r="N541" i="5"/>
  <c r="O541" i="5" s="1"/>
  <c r="N542" i="5"/>
  <c r="O542" i="5" s="1"/>
  <c r="N1870" i="5"/>
  <c r="M1721" i="5" s="1"/>
  <c r="B498" i="5"/>
  <c r="N497" i="5"/>
  <c r="O497" i="5" s="1"/>
  <c r="N496" i="5"/>
  <c r="O496" i="5" s="1"/>
  <c r="N495" i="5"/>
  <c r="O495" i="5" s="1"/>
  <c r="N494" i="5"/>
  <c r="O494" i="5" s="1"/>
  <c r="N493" i="5"/>
  <c r="B489" i="5"/>
  <c r="B490" i="5" s="1"/>
  <c r="N488" i="5"/>
  <c r="O488" i="5" s="1"/>
  <c r="N487" i="5"/>
  <c r="O487" i="5" s="1"/>
  <c r="N486" i="5"/>
  <c r="O486" i="5" s="1"/>
  <c r="N485" i="5"/>
  <c r="O485" i="5" s="1"/>
  <c r="N484" i="5"/>
  <c r="O484" i="5" s="1"/>
  <c r="N483" i="5"/>
  <c r="O483" i="5" s="1"/>
  <c r="N482" i="5"/>
  <c r="O482" i="5" s="1"/>
  <c r="N481" i="5"/>
  <c r="O481" i="5" s="1"/>
  <c r="B476" i="5"/>
  <c r="B477" i="5" s="1"/>
  <c r="N477" i="5" s="1"/>
  <c r="O477" i="5" s="1"/>
  <c r="N475" i="5"/>
  <c r="O475" i="5" s="1"/>
  <c r="N474" i="5"/>
  <c r="O474" i="5" s="1"/>
  <c r="N473" i="5"/>
  <c r="B471" i="5"/>
  <c r="B470" i="5"/>
  <c r="N469" i="5"/>
  <c r="O469" i="5" s="1"/>
  <c r="N468" i="5"/>
  <c r="N464" i="5"/>
  <c r="O464" i="5" s="1"/>
  <c r="N460" i="5"/>
  <c r="O460" i="5" s="1"/>
  <c r="B463" i="5"/>
  <c r="B465" i="5" s="1"/>
  <c r="N458" i="5"/>
  <c r="O458" i="5" s="1"/>
  <c r="N457" i="5"/>
  <c r="O457" i="5" s="1"/>
  <c r="N456" i="5"/>
  <c r="O456" i="5" s="1"/>
  <c r="B452" i="5"/>
  <c r="N451" i="5"/>
  <c r="O451" i="5" s="1"/>
  <c r="N450" i="5"/>
  <c r="O450" i="5" s="1"/>
  <c r="N449" i="5"/>
  <c r="O449" i="5" s="1"/>
  <c r="N448" i="5"/>
  <c r="B444" i="5"/>
  <c r="N444" i="5" s="1"/>
  <c r="N443" i="5"/>
  <c r="O443" i="5" s="1"/>
  <c r="N442" i="5"/>
  <c r="O442" i="5" s="1"/>
  <c r="N441" i="5"/>
  <c r="O441" i="5" s="1"/>
  <c r="N440" i="5"/>
  <c r="O440" i="5" s="1"/>
  <c r="N439" i="5"/>
  <c r="O439" i="5" s="1"/>
  <c r="N438" i="5"/>
  <c r="O438" i="5" s="1"/>
  <c r="N437" i="5"/>
  <c r="O437" i="5" s="1"/>
  <c r="N436" i="5"/>
  <c r="O436" i="5" s="1"/>
  <c r="N398" i="5"/>
  <c r="O398" i="5" s="1"/>
  <c r="N395" i="5"/>
  <c r="O395" i="5" s="1"/>
  <c r="N394" i="5"/>
  <c r="O394" i="5" s="1"/>
  <c r="N393" i="5"/>
  <c r="O393" i="5" s="1"/>
  <c r="N392" i="5"/>
  <c r="O392" i="5" s="1"/>
  <c r="N391" i="5"/>
  <c r="O391" i="5" s="1"/>
  <c r="N390" i="5"/>
  <c r="O390" i="5" s="1"/>
  <c r="N389" i="5"/>
  <c r="O389" i="5" s="1"/>
  <c r="N388" i="5"/>
  <c r="O388" i="5" s="1"/>
  <c r="N387" i="5"/>
  <c r="B385" i="5"/>
  <c r="B384" i="5"/>
  <c r="N383" i="5"/>
  <c r="O383" i="5" s="1"/>
  <c r="N382" i="5"/>
  <c r="N378" i="5"/>
  <c r="O378" i="5" s="1"/>
  <c r="N374" i="5"/>
  <c r="O374" i="5" s="1"/>
  <c r="B373" i="5"/>
  <c r="N372" i="5"/>
  <c r="O372" i="5" s="1"/>
  <c r="N371" i="5"/>
  <c r="O371" i="5" s="1"/>
  <c r="N370" i="5"/>
  <c r="O370" i="5" s="1"/>
  <c r="O1603" i="5" l="1"/>
  <c r="B1547" i="5"/>
  <c r="O1575" i="5"/>
  <c r="B1088" i="5"/>
  <c r="B1610" i="5" s="1"/>
  <c r="N1610" i="5" s="1"/>
  <c r="B1085" i="5"/>
  <c r="B920" i="5"/>
  <c r="N920" i="5" s="1"/>
  <c r="O920" i="5" s="1"/>
  <c r="B3" i="8"/>
  <c r="B5" i="8"/>
  <c r="F4" i="8"/>
  <c r="F5" i="8"/>
  <c r="E4" i="8"/>
  <c r="E5" i="8"/>
  <c r="B4" i="8"/>
  <c r="C9" i="9"/>
  <c r="D9" i="9"/>
  <c r="N1575" i="5"/>
  <c r="B375" i="5"/>
  <c r="B377" i="5"/>
  <c r="N923" i="5"/>
  <c r="O923" i="5" s="1"/>
  <c r="N1088" i="5"/>
  <c r="O1088" i="5" s="1"/>
  <c r="O914" i="5"/>
  <c r="N1080" i="5"/>
  <c r="O1080" i="5" s="1"/>
  <c r="B924" i="5"/>
  <c r="N922" i="5"/>
  <c r="N914" i="5"/>
  <c r="N919" i="5"/>
  <c r="B1087" i="5"/>
  <c r="B1582" i="5" s="1"/>
  <c r="N1084" i="5"/>
  <c r="O1079" i="5"/>
  <c r="N1079" i="5"/>
  <c r="N470" i="5"/>
  <c r="N498" i="5"/>
  <c r="B445" i="5"/>
  <c r="N399" i="5"/>
  <c r="N490" i="5"/>
  <c r="O490" i="5" s="1"/>
  <c r="N384" i="5"/>
  <c r="O387" i="5"/>
  <c r="O399" i="5" s="1"/>
  <c r="N452" i="5"/>
  <c r="N476" i="5"/>
  <c r="O468" i="5"/>
  <c r="O470" i="5" s="1"/>
  <c r="O493" i="5"/>
  <c r="O498" i="5" s="1"/>
  <c r="N373" i="5"/>
  <c r="O373" i="5" s="1"/>
  <c r="N463" i="5"/>
  <c r="O463" i="5" s="1"/>
  <c r="N459" i="5"/>
  <c r="O459" i="5" s="1"/>
  <c r="N489" i="5"/>
  <c r="O489" i="5" s="1"/>
  <c r="O382" i="5"/>
  <c r="O384" i="5" s="1"/>
  <c r="O444" i="5"/>
  <c r="O448" i="5"/>
  <c r="O452" i="5" s="1"/>
  <c r="O473" i="5"/>
  <c r="O476" i="5" s="1"/>
  <c r="N445" i="5" l="1"/>
  <c r="O445" i="5" s="1"/>
  <c r="O1582" i="5"/>
  <c r="B1554" i="5"/>
  <c r="O1554" i="5" s="1"/>
  <c r="O1610" i="5"/>
  <c r="B1089" i="5"/>
  <c r="N1087" i="5"/>
  <c r="N1089" i="5" s="1"/>
  <c r="N1582" i="5"/>
  <c r="N915" i="5"/>
  <c r="O915" i="5" s="1"/>
  <c r="O922" i="5"/>
  <c r="O924" i="5" s="1"/>
  <c r="N924" i="5"/>
  <c r="N1085" i="5"/>
  <c r="O1085" i="5" s="1"/>
  <c r="N465" i="5"/>
  <c r="O465" i="5" s="1"/>
  <c r="N461" i="5"/>
  <c r="O461" i="5" s="1"/>
  <c r="N375" i="5"/>
  <c r="O375" i="5" s="1"/>
  <c r="B379" i="5"/>
  <c r="N379" i="5" s="1"/>
  <c r="O379" i="5" s="1"/>
  <c r="N377" i="5"/>
  <c r="O377" i="5" s="1"/>
  <c r="N1554" i="5" l="1"/>
  <c r="O1087" i="5"/>
  <c r="O1089" i="5" s="1"/>
  <c r="B18" i="5"/>
  <c r="B889" i="5"/>
  <c r="B1831" i="5" l="1"/>
  <c r="B1843" i="5" s="1"/>
  <c r="B731" i="5" l="1"/>
  <c r="B739" i="5" s="1"/>
  <c r="B617" i="5"/>
  <c r="B618" i="5" s="1"/>
  <c r="B741" i="5" l="1"/>
  <c r="B1568" i="5"/>
  <c r="B732" i="5"/>
  <c r="N1853" i="5"/>
  <c r="O1853" i="5" s="1"/>
  <c r="N1852" i="5"/>
  <c r="O1852" i="5" s="1"/>
  <c r="N640" i="5"/>
  <c r="O640" i="5" s="1"/>
  <c r="N639" i="5"/>
  <c r="O639" i="5" s="1"/>
  <c r="N638" i="5"/>
  <c r="O638" i="5" s="1"/>
  <c r="B641" i="5"/>
  <c r="B642" i="5" s="1"/>
  <c r="B1283" i="5"/>
  <c r="B1528" i="5"/>
  <c r="B1067" i="5"/>
  <c r="B1050" i="5"/>
  <c r="B1033" i="5"/>
  <c r="B983" i="5"/>
  <c r="B984" i="5" s="1"/>
  <c r="B936" i="5"/>
  <c r="B937" i="5" s="1"/>
  <c r="B810" i="5"/>
  <c r="B567" i="5"/>
  <c r="B558" i="5"/>
  <c r="B522" i="5" s="1"/>
  <c r="B546" i="5"/>
  <c r="B568" i="5" l="1"/>
  <c r="B583" i="5"/>
  <c r="B1540" i="5"/>
  <c r="O1568" i="5"/>
  <c r="B547" i="5"/>
  <c r="B559" i="5"/>
  <c r="B811" i="5"/>
  <c r="B814" i="5"/>
  <c r="B1601" i="5" s="1"/>
  <c r="N1601" i="5" s="1"/>
  <c r="B987" i="5"/>
  <c r="B1606" i="5" s="1"/>
  <c r="N1606" i="5" s="1"/>
  <c r="B1034" i="5"/>
  <c r="B1037" i="5"/>
  <c r="B1607" i="5" s="1"/>
  <c r="N1607" i="5" s="1"/>
  <c r="B1051" i="5"/>
  <c r="B1054" i="5"/>
  <c r="B1608" i="5" s="1"/>
  <c r="N1608" i="5" s="1"/>
  <c r="B1068" i="5"/>
  <c r="N1068" i="5" s="1"/>
  <c r="O1068" i="5" s="1"/>
  <c r="B1071" i="5"/>
  <c r="B1609" i="5" s="1"/>
  <c r="N1609" i="5" s="1"/>
  <c r="B1529" i="5"/>
  <c r="B1532" i="5"/>
  <c r="B1284" i="5"/>
  <c r="B1287" i="5"/>
  <c r="B1613" i="5" s="1"/>
  <c r="N1613" i="5" s="1"/>
  <c r="N937" i="5"/>
  <c r="O937" i="5" s="1"/>
  <c r="N642" i="5"/>
  <c r="O642" i="5" s="1"/>
  <c r="N637" i="5"/>
  <c r="B585" i="5" l="1"/>
  <c r="N583" i="5"/>
  <c r="O1608" i="5"/>
  <c r="O1606" i="5"/>
  <c r="O1601" i="5"/>
  <c r="O1613" i="5"/>
  <c r="O1609" i="5"/>
  <c r="O1607" i="5"/>
  <c r="B1551" i="5"/>
  <c r="N811" i="5"/>
  <c r="O811" i="5" s="1"/>
  <c r="N1529" i="5"/>
  <c r="O1529" i="5" s="1"/>
  <c r="N1051" i="5"/>
  <c r="O1051" i="5" s="1"/>
  <c r="N1034" i="5"/>
  <c r="O1034" i="5" s="1"/>
  <c r="N1284" i="5"/>
  <c r="O1284" i="5" s="1"/>
  <c r="N984" i="5"/>
  <c r="O984" i="5" s="1"/>
  <c r="O637" i="5"/>
  <c r="O641" i="5" s="1"/>
  <c r="N641" i="5"/>
  <c r="N585" i="5" l="1"/>
  <c r="O583" i="5"/>
  <c r="O585" i="5" s="1"/>
  <c r="L336" i="5"/>
  <c r="L338" i="5"/>
  <c r="L1859" i="5" s="1"/>
  <c r="I336" i="5"/>
  <c r="I338" i="5"/>
  <c r="I1859" i="5" s="1"/>
  <c r="K338" i="5"/>
  <c r="K1859" i="5" s="1"/>
  <c r="K336" i="5"/>
  <c r="H338" i="5"/>
  <c r="H1859" i="5" s="1"/>
  <c r="H336" i="5"/>
  <c r="H6" i="8" s="1"/>
  <c r="G336" i="5"/>
  <c r="G338" i="5"/>
  <c r="G1859" i="5" s="1"/>
  <c r="F336" i="5"/>
  <c r="F338" i="5"/>
  <c r="F1859" i="5" s="1"/>
  <c r="D336" i="5"/>
  <c r="J6" i="9" s="1"/>
  <c r="D338" i="5"/>
  <c r="D1859" i="5" s="1"/>
  <c r="E338" i="5"/>
  <c r="E1859" i="5" s="1"/>
  <c r="E336" i="5"/>
  <c r="C338" i="5"/>
  <c r="C1859" i="5" s="1"/>
  <c r="C336" i="5"/>
  <c r="I6" i="9" s="1"/>
  <c r="B680" i="5"/>
  <c r="N533" i="5"/>
  <c r="O533" i="5" s="1"/>
  <c r="B553" i="5"/>
  <c r="D6" i="8" l="1"/>
  <c r="F6" i="8"/>
  <c r="C6" i="8"/>
  <c r="E6" i="8"/>
  <c r="G6" i="11"/>
  <c r="B554" i="5"/>
  <c r="N554" i="5" s="1"/>
  <c r="O554" i="5" s="1"/>
  <c r="B521" i="5"/>
  <c r="B523" i="5" s="1"/>
  <c r="B687" i="5"/>
  <c r="B1565" i="5" s="1"/>
  <c r="B1628" i="5"/>
  <c r="N1511" i="5"/>
  <c r="N1514" i="5"/>
  <c r="O1514" i="5" s="1"/>
  <c r="N1513" i="5"/>
  <c r="O1513" i="5" s="1"/>
  <c r="N1512" i="5"/>
  <c r="O1512" i="5" s="1"/>
  <c r="O1511" i="5" l="1"/>
  <c r="N1515" i="5"/>
  <c r="O1565" i="5"/>
  <c r="B1516" i="5"/>
  <c r="N768" i="5"/>
  <c r="O768" i="5" s="1"/>
  <c r="B684" i="5"/>
  <c r="N683" i="5"/>
  <c r="O683" i="5" s="1"/>
  <c r="O684" i="5" s="1"/>
  <c r="N1628" i="5" l="1"/>
  <c r="O1628" i="5"/>
  <c r="B685" i="5"/>
  <c r="N685" i="5" s="1"/>
  <c r="O685" i="5" s="1"/>
  <c r="B688" i="5"/>
  <c r="B1593" i="5" s="1"/>
  <c r="N1516" i="5"/>
  <c r="O1516" i="5" s="1"/>
  <c r="N680" i="5"/>
  <c r="O680" i="5" s="1"/>
  <c r="N684" i="5"/>
  <c r="O679" i="5"/>
  <c r="N679" i="5"/>
  <c r="B1537" i="5" l="1"/>
  <c r="N688" i="5"/>
  <c r="O688" i="5" s="1"/>
  <c r="B689" i="5"/>
  <c r="N687" i="5"/>
  <c r="O687" i="5" s="1"/>
  <c r="O1537" i="5" l="1"/>
  <c r="N1537" i="5"/>
  <c r="O689" i="5"/>
  <c r="N689" i="5"/>
  <c r="N1495" i="5"/>
  <c r="O1495" i="5" s="1"/>
  <c r="N1496" i="5"/>
  <c r="O1496" i="5" s="1"/>
  <c r="N1497" i="5"/>
  <c r="O1497" i="5" s="1"/>
  <c r="N1498" i="5"/>
  <c r="O1498" i="5" s="1"/>
  <c r="B1499" i="5"/>
  <c r="N1282" i="5"/>
  <c r="N1277" i="5"/>
  <c r="O1277" i="5" s="1"/>
  <c r="N1276" i="5"/>
  <c r="O1276" i="5" s="1"/>
  <c r="N1275" i="5"/>
  <c r="O1275" i="5" s="1"/>
  <c r="B1246" i="5"/>
  <c r="B1269" i="5" s="1"/>
  <c r="B1584" i="5" s="1"/>
  <c r="N1245" i="5"/>
  <c r="O1245" i="5" s="1"/>
  <c r="N1244" i="5"/>
  <c r="O1244" i="5" s="1"/>
  <c r="N1243" i="5"/>
  <c r="O1243" i="5" s="1"/>
  <c r="N1527" i="5"/>
  <c r="N1522" i="5"/>
  <c r="O1522" i="5" s="1"/>
  <c r="N1521" i="5"/>
  <c r="O1521" i="5" s="1"/>
  <c r="N1520" i="5"/>
  <c r="O1520" i="5" s="1"/>
  <c r="N1066" i="5"/>
  <c r="N1061" i="5"/>
  <c r="O1061" i="5" s="1"/>
  <c r="N1060" i="5"/>
  <c r="O1060" i="5" s="1"/>
  <c r="N1059" i="5"/>
  <c r="O1059" i="5" s="1"/>
  <c r="N982" i="5"/>
  <c r="N977" i="5"/>
  <c r="O977" i="5" s="1"/>
  <c r="N976" i="5"/>
  <c r="O976" i="5" s="1"/>
  <c r="N975" i="5"/>
  <c r="N1049" i="5"/>
  <c r="N1044" i="5"/>
  <c r="O1044" i="5" s="1"/>
  <c r="N1043" i="5"/>
  <c r="O1043" i="5" s="1"/>
  <c r="N1042" i="5"/>
  <c r="O1042" i="5" s="1"/>
  <c r="N1032" i="5"/>
  <c r="B940" i="5"/>
  <c r="B1604" i="5" s="1"/>
  <c r="N1604" i="5" s="1"/>
  <c r="N935" i="5"/>
  <c r="B931" i="5"/>
  <c r="N930" i="5"/>
  <c r="O930" i="5" s="1"/>
  <c r="N929" i="5"/>
  <c r="O929" i="5" s="1"/>
  <c r="N928" i="5"/>
  <c r="O928" i="5" s="1"/>
  <c r="B793" i="5"/>
  <c r="N792" i="5"/>
  <c r="O792" i="5" s="1"/>
  <c r="O793" i="5" s="1"/>
  <c r="B788" i="5"/>
  <c r="N787" i="5"/>
  <c r="O787" i="5" s="1"/>
  <c r="N786" i="5"/>
  <c r="O786" i="5" s="1"/>
  <c r="N785" i="5"/>
  <c r="O785" i="5" s="1"/>
  <c r="N775" i="5"/>
  <c r="O775" i="5" s="1"/>
  <c r="O776" i="5" s="1"/>
  <c r="B771" i="5"/>
  <c r="N770" i="5"/>
  <c r="O770" i="5" s="1"/>
  <c r="N769" i="5"/>
  <c r="O769" i="5" s="1"/>
  <c r="N735" i="5"/>
  <c r="O735" i="5" s="1"/>
  <c r="O736" i="5" s="1"/>
  <c r="N730" i="5"/>
  <c r="O730" i="5" s="1"/>
  <c r="O1604" i="5" l="1"/>
  <c r="O1584" i="5"/>
  <c r="O1540" i="5"/>
  <c r="N1540" i="5"/>
  <c r="B779" i="5"/>
  <c r="B1571" i="5" s="1"/>
  <c r="N777" i="5"/>
  <c r="O777" i="5" s="1"/>
  <c r="B780" i="5"/>
  <c r="B1599" i="5" s="1"/>
  <c r="N1599" i="5" s="1"/>
  <c r="B796" i="5"/>
  <c r="B1572" i="5" s="1"/>
  <c r="B789" i="5"/>
  <c r="B939" i="5"/>
  <c r="B1576" i="5" s="1"/>
  <c r="B1053" i="5"/>
  <c r="B1580" i="5" s="1"/>
  <c r="B986" i="5"/>
  <c r="B1578" i="5" s="1"/>
  <c r="B1070" i="5"/>
  <c r="B1581" i="5" s="1"/>
  <c r="B1531" i="5"/>
  <c r="B1506" i="5"/>
  <c r="B1627" i="5" s="1"/>
  <c r="B1500" i="5"/>
  <c r="B794" i="5"/>
  <c r="B797" i="5"/>
  <c r="B1600" i="5" s="1"/>
  <c r="N1600" i="5" s="1"/>
  <c r="B1247" i="5"/>
  <c r="B1286" i="5"/>
  <c r="B1585" i="5" s="1"/>
  <c r="O935" i="5"/>
  <c r="O936" i="5" s="1"/>
  <c r="N936" i="5"/>
  <c r="O1032" i="5"/>
  <c r="O1033" i="5" s="1"/>
  <c r="N1033" i="5"/>
  <c r="O1049" i="5"/>
  <c r="O1050" i="5" s="1"/>
  <c r="N1050" i="5"/>
  <c r="O982" i="5"/>
  <c r="O983" i="5" s="1"/>
  <c r="N983" i="5"/>
  <c r="O1066" i="5"/>
  <c r="O1067" i="5" s="1"/>
  <c r="N1067" i="5"/>
  <c r="O1527" i="5"/>
  <c r="O1528" i="5" s="1"/>
  <c r="N1528" i="5"/>
  <c r="O1282" i="5"/>
  <c r="O1283" i="5" s="1"/>
  <c r="N1283" i="5"/>
  <c r="N1499" i="5"/>
  <c r="O1499" i="5"/>
  <c r="O1506" i="5" s="1"/>
  <c r="N978" i="5"/>
  <c r="N987" i="5"/>
  <c r="N988" i="5" s="1"/>
  <c r="O1062" i="5"/>
  <c r="N1071" i="5"/>
  <c r="O1071" i="5" s="1"/>
  <c r="O1523" i="5"/>
  <c r="N1532" i="5"/>
  <c r="O1532" i="5" s="1"/>
  <c r="O1246" i="5"/>
  <c r="O1278" i="5"/>
  <c r="N1287" i="5"/>
  <c r="O1287" i="5" s="1"/>
  <c r="N1278" i="5"/>
  <c r="N1246" i="5"/>
  <c r="O975" i="5"/>
  <c r="O978" i="5" s="1"/>
  <c r="O986" i="5" s="1"/>
  <c r="N1523" i="5"/>
  <c r="N1062" i="5"/>
  <c r="O931" i="5"/>
  <c r="N940" i="5"/>
  <c r="O940" i="5" s="1"/>
  <c r="N1037" i="5"/>
  <c r="O1037" i="5" s="1"/>
  <c r="O1045" i="5"/>
  <c r="N1054" i="5"/>
  <c r="O1054" i="5" s="1"/>
  <c r="N1045" i="5"/>
  <c r="N931" i="5"/>
  <c r="O771" i="5"/>
  <c r="O788" i="5"/>
  <c r="N788" i="5"/>
  <c r="N793" i="5"/>
  <c r="N771" i="5"/>
  <c r="N776" i="5"/>
  <c r="N736" i="5"/>
  <c r="O731" i="5"/>
  <c r="N731" i="5"/>
  <c r="N1115" i="5"/>
  <c r="O1115" i="5" s="1"/>
  <c r="N1111" i="5"/>
  <c r="O1111" i="5" s="1"/>
  <c r="N1107" i="5"/>
  <c r="O1107" i="5" s="1"/>
  <c r="N1106" i="5"/>
  <c r="O1106" i="5" s="1"/>
  <c r="N1104" i="5"/>
  <c r="O1104" i="5" s="1"/>
  <c r="N1102" i="5"/>
  <c r="O1102" i="5" s="1"/>
  <c r="N1100" i="5"/>
  <c r="O1100" i="5" s="1"/>
  <c r="N1099" i="5"/>
  <c r="O1099" i="5" s="1"/>
  <c r="O1600" i="5" l="1"/>
  <c r="B1548" i="5"/>
  <c r="O1548" i="5" s="1"/>
  <c r="O1576" i="5"/>
  <c r="O1581" i="5"/>
  <c r="B1553" i="5"/>
  <c r="O1571" i="5"/>
  <c r="B1543" i="5"/>
  <c r="B1557" i="5"/>
  <c r="O1585" i="5"/>
  <c r="O1578" i="5"/>
  <c r="B1550" i="5"/>
  <c r="B1544" i="5"/>
  <c r="O1572" i="5"/>
  <c r="B1552" i="5"/>
  <c r="O1552" i="5" s="1"/>
  <c r="O1580" i="5"/>
  <c r="O1599" i="5"/>
  <c r="O1551" i="5"/>
  <c r="N1551" i="5"/>
  <c r="B1262" i="5"/>
  <c r="N1262" i="5" s="1"/>
  <c r="O1262" i="5" s="1"/>
  <c r="B1265" i="5"/>
  <c r="N1572" i="5"/>
  <c r="N1568" i="5"/>
  <c r="N1571" i="5"/>
  <c r="B941" i="5"/>
  <c r="B1038" i="5"/>
  <c r="B1055" i="5"/>
  <c r="N1531" i="5"/>
  <c r="N1533" i="5" s="1"/>
  <c r="N779" i="5"/>
  <c r="O779" i="5" s="1"/>
  <c r="N1036" i="5"/>
  <c r="N1038" i="5" s="1"/>
  <c r="B1533" i="5"/>
  <c r="B1288" i="5"/>
  <c r="B1507" i="5"/>
  <c r="B1072" i="5"/>
  <c r="B988" i="5"/>
  <c r="B781" i="5"/>
  <c r="N794" i="5"/>
  <c r="O794" i="5" s="1"/>
  <c r="N797" i="5"/>
  <c r="O797" i="5" s="1"/>
  <c r="N780" i="5"/>
  <c r="O780" i="5" s="1"/>
  <c r="N1286" i="5"/>
  <c r="O1286" i="5" s="1"/>
  <c r="O1288" i="5" s="1"/>
  <c r="N740" i="5"/>
  <c r="O740" i="5" s="1"/>
  <c r="N1269" i="5"/>
  <c r="O1269" i="5" s="1"/>
  <c r="N939" i="5"/>
  <c r="N941" i="5" s="1"/>
  <c r="N737" i="5"/>
  <c r="O737" i="5" s="1"/>
  <c r="N732" i="5"/>
  <c r="O732" i="5" s="1"/>
  <c r="N796" i="5"/>
  <c r="O796" i="5" s="1"/>
  <c r="N1053" i="5"/>
  <c r="N1055" i="5" s="1"/>
  <c r="N1070" i="5"/>
  <c r="N1072" i="5" s="1"/>
  <c r="B798" i="5"/>
  <c r="O987" i="5"/>
  <c r="O988" i="5" s="1"/>
  <c r="N1506" i="5"/>
  <c r="N1500" i="5"/>
  <c r="O1500" i="5" s="1"/>
  <c r="N1279" i="5"/>
  <c r="O1279" i="5" s="1"/>
  <c r="N1247" i="5"/>
  <c r="O1247" i="5" s="1"/>
  <c r="O1261" i="5" s="1"/>
  <c r="N1524" i="5"/>
  <c r="O1524" i="5" s="1"/>
  <c r="N1063" i="5"/>
  <c r="O1063" i="5" s="1"/>
  <c r="N979" i="5"/>
  <c r="O979" i="5" s="1"/>
  <c r="N1046" i="5"/>
  <c r="O1046" i="5" s="1"/>
  <c r="N932" i="5"/>
  <c r="O932" i="5" s="1"/>
  <c r="N739" i="5"/>
  <c r="N789" i="5"/>
  <c r="O789" i="5" s="1"/>
  <c r="N772" i="5"/>
  <c r="O772" i="5" s="1"/>
  <c r="B593" i="5"/>
  <c r="B594" i="5" s="1"/>
  <c r="N1552" i="5" l="1"/>
  <c r="N1548" i="5"/>
  <c r="O1543" i="5"/>
  <c r="N1543" i="5"/>
  <c r="O1544" i="5"/>
  <c r="N1544" i="5"/>
  <c r="O1553" i="5"/>
  <c r="N1553" i="5"/>
  <c r="O1550" i="5"/>
  <c r="N1550" i="5"/>
  <c r="B1266" i="5"/>
  <c r="B1270" i="5" s="1"/>
  <c r="B1612" i="5" s="1"/>
  <c r="N1612" i="5" s="1"/>
  <c r="N1265" i="5"/>
  <c r="N1261" i="5"/>
  <c r="B1629" i="5"/>
  <c r="N1629" i="5" s="1"/>
  <c r="O1531" i="5"/>
  <c r="O1533" i="5" s="1"/>
  <c r="N1584" i="5"/>
  <c r="N1627" i="5"/>
  <c r="N1576" i="5"/>
  <c r="N1578" i="5"/>
  <c r="N1581" i="5"/>
  <c r="N1580" i="5"/>
  <c r="N1579" i="5"/>
  <c r="N1585" i="5"/>
  <c r="O781" i="5"/>
  <c r="N1507" i="5"/>
  <c r="O1507" i="5" s="1"/>
  <c r="O1036" i="5"/>
  <c r="O1038" i="5" s="1"/>
  <c r="O1053" i="5"/>
  <c r="O1055" i="5" s="1"/>
  <c r="O1627" i="5"/>
  <c r="O798" i="5"/>
  <c r="O1070" i="5"/>
  <c r="O1072" i="5" s="1"/>
  <c r="N1288" i="5"/>
  <c r="N798" i="5"/>
  <c r="N781" i="5"/>
  <c r="O939" i="5"/>
  <c r="O941" i="5" s="1"/>
  <c r="O739" i="5"/>
  <c r="O741" i="5" s="1"/>
  <c r="N741" i="5"/>
  <c r="O670" i="5"/>
  <c r="N528" i="5"/>
  <c r="O528" i="5" s="1"/>
  <c r="O1612" i="5" l="1"/>
  <c r="B1556" i="5"/>
  <c r="B1267" i="5"/>
  <c r="N1267" i="5" s="1"/>
  <c r="O1267" i="5" s="1"/>
  <c r="N1266" i="5"/>
  <c r="O1265" i="5"/>
  <c r="O1266" i="5" s="1"/>
  <c r="N557" i="5"/>
  <c r="O557" i="5" s="1"/>
  <c r="N1270" i="5" l="1"/>
  <c r="B1271" i="5"/>
  <c r="N522" i="5"/>
  <c r="O522" i="5" s="1"/>
  <c r="O1270" i="5" l="1"/>
  <c r="O1271" i="5" s="1"/>
  <c r="N1271" i="5"/>
  <c r="N212" i="5"/>
  <c r="L3" i="11" l="1"/>
  <c r="K4" i="11" l="1"/>
  <c r="K3" i="11"/>
  <c r="K5" i="11"/>
  <c r="N1864" i="5" l="1"/>
  <c r="O1864" i="5" s="1"/>
  <c r="B1481" i="5" l="1"/>
  <c r="B1626" i="5" s="1"/>
  <c r="N1480" i="5"/>
  <c r="O1480" i="5" s="1"/>
  <c r="N1479" i="5"/>
  <c r="O1479" i="5" s="1"/>
  <c r="N1478" i="5"/>
  <c r="B1482" i="5" l="1"/>
  <c r="N1481" i="5"/>
  <c r="O1478" i="5"/>
  <c r="O1481" i="5" s="1"/>
  <c r="M5" i="11"/>
  <c r="M4" i="11"/>
  <c r="M3" i="11"/>
  <c r="L5" i="11"/>
  <c r="L4" i="11"/>
  <c r="N1626" i="5" l="1"/>
  <c r="O1626" i="5"/>
  <c r="J4" i="11"/>
  <c r="J3" i="11"/>
  <c r="J5" i="11"/>
  <c r="N1482" i="5"/>
  <c r="O1482" i="5" s="1"/>
  <c r="I3" i="11" l="1"/>
  <c r="I5" i="11"/>
  <c r="I4" i="11"/>
  <c r="N666" i="5" l="1"/>
  <c r="H5" i="11" l="1"/>
  <c r="H4" i="11"/>
  <c r="H3" i="11"/>
  <c r="N1838" i="5" l="1"/>
  <c r="F3" i="11" l="1"/>
  <c r="F5" i="11" l="1"/>
  <c r="F4" i="11"/>
  <c r="N1855" i="5"/>
  <c r="O1855" i="5" s="1"/>
  <c r="N1847" i="5"/>
  <c r="O1847" i="5" s="1"/>
  <c r="N1842" i="5"/>
  <c r="O1842" i="5" s="1"/>
  <c r="N1841" i="5"/>
  <c r="O1841" i="5" s="1"/>
  <c r="N1840" i="5"/>
  <c r="O1840" i="5" s="1"/>
  <c r="N1839" i="5"/>
  <c r="O1839" i="5" s="1"/>
  <c r="O1838" i="5"/>
  <c r="N1835" i="5"/>
  <c r="O1835" i="5" s="1"/>
  <c r="N1834" i="5"/>
  <c r="O1834" i="5" s="1"/>
  <c r="B1845" i="5"/>
  <c r="N1830" i="5"/>
  <c r="O1830" i="5" s="1"/>
  <c r="N1829" i="5"/>
  <c r="O1829" i="5" s="1"/>
  <c r="N1828" i="5"/>
  <c r="O1828" i="5" s="1"/>
  <c r="N1827" i="5"/>
  <c r="O1827" i="5" s="1"/>
  <c r="N1826" i="5"/>
  <c r="O1826" i="5" s="1"/>
  <c r="N1825" i="5"/>
  <c r="O1825" i="5" s="1"/>
  <c r="N1824" i="5"/>
  <c r="O1824" i="5" s="1"/>
  <c r="N1823" i="5"/>
  <c r="N1818" i="5"/>
  <c r="O1818" i="5" s="1"/>
  <c r="N1778" i="5"/>
  <c r="O1778" i="5" s="1"/>
  <c r="N1724" i="5"/>
  <c r="N1774" i="5" s="1"/>
  <c r="B1721" i="5"/>
  <c r="N1718" i="5"/>
  <c r="O1718" i="5" s="1"/>
  <c r="N1717" i="5"/>
  <c r="O1717" i="5" s="1"/>
  <c r="N1719" i="5"/>
  <c r="O1719" i="5" s="1"/>
  <c r="N1716" i="5"/>
  <c r="O1716" i="5" s="1"/>
  <c r="N1715" i="5"/>
  <c r="O1715" i="5" s="1"/>
  <c r="N1714" i="5"/>
  <c r="O1714" i="5" s="1"/>
  <c r="N1713" i="5"/>
  <c r="O1713" i="5" s="1"/>
  <c r="N1712" i="5"/>
  <c r="O1712" i="5" s="1"/>
  <c r="N1711" i="5"/>
  <c r="O1711" i="5" s="1"/>
  <c r="N1710" i="5"/>
  <c r="O1710" i="5" s="1"/>
  <c r="N1709" i="5"/>
  <c r="O1709" i="5" s="1"/>
  <c r="N1708" i="5"/>
  <c r="N1678" i="5"/>
  <c r="O1678" i="5" s="1"/>
  <c r="N1674" i="5"/>
  <c r="O1674" i="5" s="1"/>
  <c r="B1655" i="5"/>
  <c r="B1656" i="5" s="1"/>
  <c r="N1654" i="5"/>
  <c r="O1654" i="5" s="1"/>
  <c r="N1653" i="5"/>
  <c r="O1653" i="5" s="1"/>
  <c r="N1652" i="5"/>
  <c r="O1652" i="5" s="1"/>
  <c r="N1650" i="5"/>
  <c r="O1650" i="5" s="1"/>
  <c r="N1649" i="5"/>
  <c r="O1649" i="5" s="1"/>
  <c r="B1645" i="5"/>
  <c r="N1644" i="5"/>
  <c r="O1644" i="5" s="1"/>
  <c r="N1643" i="5"/>
  <c r="O1643" i="5" s="1"/>
  <c r="N1642" i="5"/>
  <c r="O1642" i="5" s="1"/>
  <c r="N1641" i="5"/>
  <c r="O1641" i="5" s="1"/>
  <c r="N1640" i="5"/>
  <c r="O1640" i="5" s="1"/>
  <c r="N1639" i="5"/>
  <c r="O1639" i="5" s="1"/>
  <c r="N1638" i="5"/>
  <c r="O1638" i="5" s="1"/>
  <c r="N1637" i="5"/>
  <c r="O1637" i="5" s="1"/>
  <c r="N1636" i="5"/>
  <c r="O1636" i="5" s="1"/>
  <c r="O1629" i="5"/>
  <c r="N809" i="5"/>
  <c r="B805" i="5"/>
  <c r="N804" i="5"/>
  <c r="O804" i="5" s="1"/>
  <c r="N803" i="5"/>
  <c r="O803" i="5" s="1"/>
  <c r="N802" i="5"/>
  <c r="B903" i="5"/>
  <c r="B899" i="5"/>
  <c r="B900" i="5" s="1"/>
  <c r="N898" i="5"/>
  <c r="O898" i="5" s="1"/>
  <c r="N897" i="5"/>
  <c r="O897" i="5" s="1"/>
  <c r="N896" i="5"/>
  <c r="O896" i="5" s="1"/>
  <c r="N895" i="5"/>
  <c r="O895" i="5" s="1"/>
  <c r="N894" i="5"/>
  <c r="O894" i="5" s="1"/>
  <c r="N893" i="5"/>
  <c r="O893" i="5" s="1"/>
  <c r="B890" i="5"/>
  <c r="N888" i="5"/>
  <c r="O888" i="5" s="1"/>
  <c r="N887" i="5"/>
  <c r="O887" i="5" s="1"/>
  <c r="N886" i="5"/>
  <c r="O886" i="5" s="1"/>
  <c r="N881" i="5"/>
  <c r="O881" i="5" s="1"/>
  <c r="N879" i="5"/>
  <c r="O879" i="5" s="1"/>
  <c r="N877" i="5"/>
  <c r="O877" i="5" s="1"/>
  <c r="N876" i="5"/>
  <c r="O876" i="5" s="1"/>
  <c r="B871" i="5"/>
  <c r="B869" i="5"/>
  <c r="B868" i="5"/>
  <c r="B867" i="5"/>
  <c r="B866" i="5"/>
  <c r="B862" i="5"/>
  <c r="B1602" i="5" s="1"/>
  <c r="N1602" i="5" s="1"/>
  <c r="B861" i="5"/>
  <c r="B1574" i="5" s="1"/>
  <c r="B858" i="5"/>
  <c r="B859" i="5" s="1"/>
  <c r="N857" i="5"/>
  <c r="O857" i="5" s="1"/>
  <c r="N856" i="5"/>
  <c r="O856" i="5" s="1"/>
  <c r="N855" i="5"/>
  <c r="O855" i="5" s="1"/>
  <c r="N854" i="5"/>
  <c r="O854" i="5" s="1"/>
  <c r="N853" i="5"/>
  <c r="O853" i="5" s="1"/>
  <c r="N852" i="5"/>
  <c r="O852" i="5" s="1"/>
  <c r="N851" i="5"/>
  <c r="O851" i="5" s="1"/>
  <c r="N850" i="5"/>
  <c r="O850" i="5" s="1"/>
  <c r="B846" i="5"/>
  <c r="B847" i="5" s="1"/>
  <c r="N845" i="5"/>
  <c r="O845" i="5" s="1"/>
  <c r="N844" i="5"/>
  <c r="O844" i="5" s="1"/>
  <c r="N843" i="5"/>
  <c r="B839" i="5"/>
  <c r="B840" i="5" s="1"/>
  <c r="N838" i="5"/>
  <c r="O838" i="5" s="1"/>
  <c r="N837" i="5"/>
  <c r="O837" i="5" s="1"/>
  <c r="N836" i="5"/>
  <c r="O836" i="5" s="1"/>
  <c r="N835" i="5"/>
  <c r="O835" i="5" s="1"/>
  <c r="N834" i="5"/>
  <c r="O834" i="5" s="1"/>
  <c r="N833" i="5"/>
  <c r="O833" i="5" s="1"/>
  <c r="N832" i="5"/>
  <c r="O832" i="5" s="1"/>
  <c r="N831" i="5"/>
  <c r="O831" i="5" s="1"/>
  <c r="B826" i="5"/>
  <c r="B825" i="5"/>
  <c r="B824" i="5"/>
  <c r="B823" i="5"/>
  <c r="B822" i="5"/>
  <c r="B821" i="5"/>
  <c r="B820" i="5"/>
  <c r="B1394" i="5"/>
  <c r="B1398" i="5" s="1"/>
  <c r="B1615" i="5" s="1"/>
  <c r="N1615" i="5" s="1"/>
  <c r="N1393" i="5"/>
  <c r="O1393" i="5" s="1"/>
  <c r="N1392" i="5"/>
  <c r="O1392" i="5" s="1"/>
  <c r="N1391" i="5"/>
  <c r="O1391" i="5" s="1"/>
  <c r="N1390" i="5"/>
  <c r="O1390" i="5" s="1"/>
  <c r="N1389" i="5"/>
  <c r="O1389" i="5" s="1"/>
  <c r="N1388" i="5"/>
  <c r="O1388" i="5" s="1"/>
  <c r="N1387" i="5"/>
  <c r="B1383" i="5"/>
  <c r="N1382" i="5"/>
  <c r="O1382" i="5" s="1"/>
  <c r="N1381" i="5"/>
  <c r="O1381" i="5" s="1"/>
  <c r="N1380" i="5"/>
  <c r="O1380" i="5" s="1"/>
  <c r="B1376" i="5"/>
  <c r="B1377" i="5" s="1"/>
  <c r="N1375" i="5"/>
  <c r="O1375" i="5" s="1"/>
  <c r="N1374" i="5"/>
  <c r="O1374" i="5" s="1"/>
  <c r="N1373" i="5"/>
  <c r="O1373" i="5" s="1"/>
  <c r="N1372" i="5"/>
  <c r="O1372" i="5" s="1"/>
  <c r="N1371" i="5"/>
  <c r="O1371" i="5" s="1"/>
  <c r="N1370" i="5"/>
  <c r="O1370" i="5" s="1"/>
  <c r="N1369" i="5"/>
  <c r="O1369" i="5" s="1"/>
  <c r="B1358" i="5"/>
  <c r="B1353" i="5"/>
  <c r="B1614" i="5" s="1"/>
  <c r="N1614" i="5" s="1"/>
  <c r="N1347" i="5"/>
  <c r="O1347" i="5" s="1"/>
  <c r="N1346" i="5"/>
  <c r="O1346" i="5" s="1"/>
  <c r="N1345" i="5"/>
  <c r="O1345" i="5" s="1"/>
  <c r="N1344" i="5"/>
  <c r="O1344" i="5" s="1"/>
  <c r="N1343" i="5"/>
  <c r="O1343" i="5" s="1"/>
  <c r="N1342" i="5"/>
  <c r="O1342" i="5" s="1"/>
  <c r="N1341" i="5"/>
  <c r="O1341" i="5" s="1"/>
  <c r="N1340" i="5"/>
  <c r="O1340" i="5" s="1"/>
  <c r="N1339" i="5"/>
  <c r="O1339" i="5" s="1"/>
  <c r="N1338" i="5"/>
  <c r="O1338" i="5" s="1"/>
  <c r="N1337" i="5"/>
  <c r="O1337" i="5" s="1"/>
  <c r="N1336" i="5"/>
  <c r="O1336" i="5" s="1"/>
  <c r="N1335" i="5"/>
  <c r="O1335" i="5" s="1"/>
  <c r="B1331" i="5"/>
  <c r="N1330" i="5"/>
  <c r="O1330" i="5" s="1"/>
  <c r="N1329" i="5"/>
  <c r="O1329" i="5" s="1"/>
  <c r="N1328" i="5"/>
  <c r="O1328" i="5" s="1"/>
  <c r="N1322" i="5"/>
  <c r="O1322" i="5" s="1"/>
  <c r="N1321" i="5"/>
  <c r="O1321" i="5" s="1"/>
  <c r="N1320" i="5"/>
  <c r="O1320" i="5" s="1"/>
  <c r="N1319" i="5"/>
  <c r="O1319" i="5" s="1"/>
  <c r="N1318" i="5"/>
  <c r="O1318" i="5" s="1"/>
  <c r="N1317" i="5"/>
  <c r="O1317" i="5" s="1"/>
  <c r="N1316" i="5"/>
  <c r="O1316" i="5" s="1"/>
  <c r="N1315" i="5"/>
  <c r="O1315" i="5" s="1"/>
  <c r="N1314" i="5"/>
  <c r="O1314" i="5" s="1"/>
  <c r="N1313" i="5"/>
  <c r="O1313" i="5" s="1"/>
  <c r="N1312" i="5"/>
  <c r="O1312" i="5" s="1"/>
  <c r="N1311" i="5"/>
  <c r="O1311" i="5" s="1"/>
  <c r="N1310" i="5"/>
  <c r="B1304" i="5"/>
  <c r="B1303" i="5"/>
  <c r="B1302" i="5"/>
  <c r="B1301" i="5"/>
  <c r="B1300" i="5"/>
  <c r="B1299" i="5"/>
  <c r="B1298" i="5"/>
  <c r="B1297" i="5"/>
  <c r="B1296" i="5"/>
  <c r="B1295" i="5"/>
  <c r="B1294" i="5"/>
  <c r="B1293" i="5"/>
  <c r="B1292" i="5"/>
  <c r="B1487" i="5"/>
  <c r="N1485" i="5"/>
  <c r="O1485" i="5" s="1"/>
  <c r="O1486" i="5" s="1"/>
  <c r="O1490" i="5" s="1"/>
  <c r="B1459" i="5"/>
  <c r="N1458" i="5"/>
  <c r="O1458" i="5" s="1"/>
  <c r="N1457" i="5"/>
  <c r="O1457" i="5" s="1"/>
  <c r="B1203" i="5"/>
  <c r="N1202" i="5"/>
  <c r="O1202" i="5" s="1"/>
  <c r="N1201" i="5"/>
  <c r="O1201" i="5" s="1"/>
  <c r="N1200" i="5"/>
  <c r="O1200" i="5" s="1"/>
  <c r="N1199" i="5"/>
  <c r="O1199" i="5" s="1"/>
  <c r="B1195" i="5"/>
  <c r="B1196" i="5" s="1"/>
  <c r="N1194" i="5"/>
  <c r="O1194" i="5" s="1"/>
  <c r="N1193" i="5"/>
  <c r="O1193" i="5" s="1"/>
  <c r="N1190" i="5"/>
  <c r="O1190" i="5" s="1"/>
  <c r="B1181" i="5"/>
  <c r="N1180" i="5"/>
  <c r="O1180" i="5" s="1"/>
  <c r="N1179" i="5"/>
  <c r="O1179" i="5" s="1"/>
  <c r="N1178" i="5"/>
  <c r="O1178" i="5" s="1"/>
  <c r="N1177" i="5"/>
  <c r="O1177" i="5" s="1"/>
  <c r="N1176" i="5"/>
  <c r="O1176" i="5" s="1"/>
  <c r="N1175" i="5"/>
  <c r="O1175" i="5" s="1"/>
  <c r="N1174" i="5"/>
  <c r="O1174" i="5" s="1"/>
  <c r="N1173" i="5"/>
  <c r="O1173" i="5" s="1"/>
  <c r="N1172" i="5"/>
  <c r="O1172" i="5" s="1"/>
  <c r="N1160" i="5"/>
  <c r="O1160" i="5" s="1"/>
  <c r="N1159" i="5"/>
  <c r="O1159" i="5" s="1"/>
  <c r="N1157" i="5"/>
  <c r="O1157" i="5" s="1"/>
  <c r="B1153" i="5"/>
  <c r="N1116" i="5" s="1"/>
  <c r="O1116" i="5" s="1"/>
  <c r="N1152" i="5"/>
  <c r="O1152" i="5" s="1"/>
  <c r="N1151" i="5"/>
  <c r="O1151" i="5" s="1"/>
  <c r="N1150" i="5"/>
  <c r="O1150" i="5" s="1"/>
  <c r="N1149" i="5"/>
  <c r="O1149" i="5" s="1"/>
  <c r="N1144" i="5"/>
  <c r="O1144" i="5" s="1"/>
  <c r="N1143" i="5"/>
  <c r="O1143" i="5" s="1"/>
  <c r="N1142" i="5"/>
  <c r="O1142" i="5" s="1"/>
  <c r="N1141" i="5"/>
  <c r="O1141" i="5" s="1"/>
  <c r="N1140" i="5"/>
  <c r="O1140" i="5" s="1"/>
  <c r="N1139" i="5"/>
  <c r="O1139" i="5" s="1"/>
  <c r="N1138" i="5"/>
  <c r="O1138" i="5" s="1"/>
  <c r="N1127" i="5"/>
  <c r="O1127" i="5" s="1"/>
  <c r="N1126" i="5"/>
  <c r="O1126" i="5" s="1"/>
  <c r="N1125" i="5"/>
  <c r="O1125" i="5" s="1"/>
  <c r="N1124" i="5"/>
  <c r="O1124" i="5" s="1"/>
  <c r="N1123" i="5"/>
  <c r="O1123" i="5" s="1"/>
  <c r="N1121" i="5"/>
  <c r="O1121" i="5" s="1"/>
  <c r="B1117" i="5"/>
  <c r="B1118" i="5" s="1"/>
  <c r="N1093" i="5"/>
  <c r="B966" i="5"/>
  <c r="N965" i="5"/>
  <c r="N966" i="5" s="1"/>
  <c r="B961" i="5"/>
  <c r="N960" i="5"/>
  <c r="O960" i="5" s="1"/>
  <c r="N959" i="5"/>
  <c r="O959" i="5" s="1"/>
  <c r="N958" i="5"/>
  <c r="O958" i="5" s="1"/>
  <c r="N953" i="5"/>
  <c r="O953" i="5" s="1"/>
  <c r="N952" i="5"/>
  <c r="O952" i="5" s="1"/>
  <c r="N951" i="5"/>
  <c r="O951" i="5" s="1"/>
  <c r="N950" i="5"/>
  <c r="O950" i="5" s="1"/>
  <c r="N949" i="5"/>
  <c r="O949" i="5" s="1"/>
  <c r="N948" i="5"/>
  <c r="O948" i="5" s="1"/>
  <c r="N947" i="5"/>
  <c r="O947" i="5" s="1"/>
  <c r="N946" i="5"/>
  <c r="O946" i="5" s="1"/>
  <c r="N945" i="5"/>
  <c r="O945" i="5" s="1"/>
  <c r="N669" i="5"/>
  <c r="O669" i="5" s="1"/>
  <c r="N668" i="5"/>
  <c r="O668" i="5" s="1"/>
  <c r="N667" i="5"/>
  <c r="O667" i="5" s="1"/>
  <c r="O666" i="5"/>
  <c r="N665" i="5"/>
  <c r="O665" i="5" s="1"/>
  <c r="N664" i="5"/>
  <c r="O664" i="5" s="1"/>
  <c r="N663" i="5"/>
  <c r="O663" i="5" s="1"/>
  <c r="N662" i="5"/>
  <c r="O662" i="5" s="1"/>
  <c r="N661" i="5"/>
  <c r="O661" i="5" s="1"/>
  <c r="N616" i="5"/>
  <c r="O616" i="5" s="1"/>
  <c r="N615" i="5"/>
  <c r="N566" i="5"/>
  <c r="O566" i="5" s="1"/>
  <c r="N565" i="5"/>
  <c r="O565" i="5" s="1"/>
  <c r="N564" i="5"/>
  <c r="O564" i="5" s="1"/>
  <c r="N545" i="5"/>
  <c r="O545" i="5" s="1"/>
  <c r="N552" i="5"/>
  <c r="O552" i="5" s="1"/>
  <c r="N543" i="5"/>
  <c r="O543" i="5" s="1"/>
  <c r="N551" i="5"/>
  <c r="O551" i="5" s="1"/>
  <c r="N539" i="5"/>
  <c r="O539" i="5" s="1"/>
  <c r="N538" i="5"/>
  <c r="O538" i="5" s="1"/>
  <c r="N537" i="5"/>
  <c r="O537" i="5" s="1"/>
  <c r="N536" i="5"/>
  <c r="O536" i="5" s="1"/>
  <c r="N535" i="5"/>
  <c r="O535" i="5" s="1"/>
  <c r="N534" i="5"/>
  <c r="O534" i="5" s="1"/>
  <c r="N532" i="5"/>
  <c r="O532" i="5" s="1"/>
  <c r="N531" i="5"/>
  <c r="O531" i="5" s="1"/>
  <c r="N530" i="5"/>
  <c r="O530" i="5" s="1"/>
  <c r="N529" i="5"/>
  <c r="O529" i="5" s="1"/>
  <c r="N550" i="5"/>
  <c r="N527" i="5"/>
  <c r="N515" i="5"/>
  <c r="O515" i="5" s="1"/>
  <c r="N511" i="5"/>
  <c r="O511" i="5" s="1"/>
  <c r="N512" i="5"/>
  <c r="O512" i="5" s="1"/>
  <c r="N516" i="5"/>
  <c r="O516" i="5" s="1"/>
  <c r="N513" i="5"/>
  <c r="N507" i="5"/>
  <c r="O507" i="5" s="1"/>
  <c r="N506" i="5"/>
  <c r="O506" i="5" s="1"/>
  <c r="N505" i="5"/>
  <c r="O505" i="5" s="1"/>
  <c r="N504" i="5"/>
  <c r="O504" i="5" s="1"/>
  <c r="B508" i="5"/>
  <c r="N502" i="5"/>
  <c r="O502" i="5" s="1"/>
  <c r="N300" i="5"/>
  <c r="N294" i="5"/>
  <c r="N284" i="5"/>
  <c r="N264" i="5"/>
  <c r="N244" i="5"/>
  <c r="N238" i="5"/>
  <c r="N218" i="5"/>
  <c r="B215" i="5"/>
  <c r="O212" i="5"/>
  <c r="B209" i="5"/>
  <c r="N192" i="5"/>
  <c r="B189" i="5"/>
  <c r="B74" i="5"/>
  <c r="B75" i="5" s="1"/>
  <c r="N71" i="5"/>
  <c r="O52" i="5"/>
  <c r="B48" i="5"/>
  <c r="B47" i="5"/>
  <c r="B43" i="5"/>
  <c r="N40" i="5"/>
  <c r="B37" i="5"/>
  <c r="N21" i="5"/>
  <c r="O21" i="5" s="1"/>
  <c r="L5" i="8"/>
  <c r="K5" i="8"/>
  <c r="J5" i="8"/>
  <c r="I5" i="8"/>
  <c r="G5" i="8"/>
  <c r="L4" i="8"/>
  <c r="K4" i="8"/>
  <c r="J4" i="8"/>
  <c r="I4" i="8"/>
  <c r="G4" i="8"/>
  <c r="L3" i="8"/>
  <c r="J3" i="8"/>
  <c r="I3" i="8"/>
  <c r="B12" i="5"/>
  <c r="B1848" i="5" s="1"/>
  <c r="N9" i="5"/>
  <c r="O550" i="5" l="1"/>
  <c r="O553" i="5" s="1"/>
  <c r="N553" i="5"/>
  <c r="O1614" i="5"/>
  <c r="O1602" i="5"/>
  <c r="O1615" i="5"/>
  <c r="O1574" i="5"/>
  <c r="B1546" i="5"/>
  <c r="N1574" i="5"/>
  <c r="O513" i="5"/>
  <c r="B49" i="5"/>
  <c r="B1860" i="5" s="1"/>
  <c r="N75" i="5"/>
  <c r="O75" i="5" s="1"/>
  <c r="O1547" i="5"/>
  <c r="N1547" i="5"/>
  <c r="B1146" i="5"/>
  <c r="N1108" i="5"/>
  <c r="O1108" i="5" s="1"/>
  <c r="O1093" i="5"/>
  <c r="B1365" i="5"/>
  <c r="B1366" i="5" s="1"/>
  <c r="N1366" i="5" s="1"/>
  <c r="O1366" i="5" s="1"/>
  <c r="M333" i="5"/>
  <c r="M3" i="8" s="1"/>
  <c r="M334" i="5"/>
  <c r="M4" i="8" s="1"/>
  <c r="M335" i="5"/>
  <c r="M5" i="8" s="1"/>
  <c r="D4" i="11"/>
  <c r="D6" i="11"/>
  <c r="N48" i="5"/>
  <c r="O48" i="5" s="1"/>
  <c r="N16" i="5"/>
  <c r="O16" i="5" s="1"/>
  <c r="N17" i="5"/>
  <c r="O17" i="5" s="1"/>
  <c r="N47" i="5"/>
  <c r="O47" i="5" s="1"/>
  <c r="B1489" i="5"/>
  <c r="B1625" i="5"/>
  <c r="O1708" i="5"/>
  <c r="O1720" i="5" s="1"/>
  <c r="N1720" i="5"/>
  <c r="B1858" i="5"/>
  <c r="B336" i="5"/>
  <c r="H6" i="9" s="1"/>
  <c r="N1196" i="5"/>
  <c r="O1196" i="5" s="1"/>
  <c r="B1154" i="5"/>
  <c r="B1207" i="5"/>
  <c r="B1583" i="5" s="1"/>
  <c r="B1332" i="5"/>
  <c r="N1332" i="5" s="1"/>
  <c r="O1332" i="5" s="1"/>
  <c r="B1352" i="5"/>
  <c r="B1586" i="5" s="1"/>
  <c r="B1460" i="5"/>
  <c r="B1384" i="5"/>
  <c r="B1397" i="5"/>
  <c r="B1587" i="5" s="1"/>
  <c r="N1854" i="5"/>
  <c r="O1854" i="5" s="1"/>
  <c r="B967" i="5"/>
  <c r="N967" i="5" s="1"/>
  <c r="O967" i="5" s="1"/>
  <c r="B970" i="5"/>
  <c r="B1605" i="5" s="1"/>
  <c r="N1605" i="5" s="1"/>
  <c r="B1208" i="5"/>
  <c r="B1611" i="5" s="1"/>
  <c r="N1611" i="5" s="1"/>
  <c r="B1182" i="5"/>
  <c r="B1204" i="5"/>
  <c r="B1205" i="5"/>
  <c r="B1325" i="5"/>
  <c r="B813" i="5"/>
  <c r="B1573" i="5" s="1"/>
  <c r="B806" i="5"/>
  <c r="B969" i="5"/>
  <c r="B1577" i="5" s="1"/>
  <c r="B962" i="5"/>
  <c r="B1350" i="5"/>
  <c r="B1395" i="5"/>
  <c r="B1646" i="5"/>
  <c r="B1867" i="5" s="1"/>
  <c r="O809" i="5"/>
  <c r="O810" i="5" s="1"/>
  <c r="N810" i="5"/>
  <c r="N618" i="5"/>
  <c r="O618" i="5" s="1"/>
  <c r="N594" i="5"/>
  <c r="O594" i="5" s="1"/>
  <c r="K6" i="11"/>
  <c r="N355" i="5"/>
  <c r="N356" i="5"/>
  <c r="N1816" i="5"/>
  <c r="N546" i="5"/>
  <c r="M6" i="11"/>
  <c r="J6" i="11"/>
  <c r="L6" i="11"/>
  <c r="I6" i="11"/>
  <c r="G6" i="8"/>
  <c r="G3" i="8"/>
  <c r="H6" i="11"/>
  <c r="N1676" i="5"/>
  <c r="O1676" i="5" s="1"/>
  <c r="N1844" i="5"/>
  <c r="O1844" i="5" s="1"/>
  <c r="N209" i="5"/>
  <c r="N866" i="5"/>
  <c r="O866" i="5" s="1"/>
  <c r="N867" i="5"/>
  <c r="O867" i="5" s="1"/>
  <c r="N869" i="5"/>
  <c r="O869" i="5" s="1"/>
  <c r="N1675" i="5"/>
  <c r="O1675" i="5" s="1"/>
  <c r="N1677" i="5"/>
  <c r="O1677" i="5" s="1"/>
  <c r="N1679" i="5"/>
  <c r="O1679" i="5" s="1"/>
  <c r="N1681" i="5"/>
  <c r="O1681" i="5" s="1"/>
  <c r="O1724" i="5"/>
  <c r="O1774" i="5" s="1"/>
  <c r="N303" i="5"/>
  <c r="N1361" i="5"/>
  <c r="O1361" i="5" s="1"/>
  <c r="N1364" i="5"/>
  <c r="O1364" i="5" s="1"/>
  <c r="N306" i="5"/>
  <c r="O306" i="5" s="1"/>
  <c r="N357" i="5"/>
  <c r="N1294" i="5"/>
  <c r="O1294" i="5" s="1"/>
  <c r="N1295" i="5"/>
  <c r="O1295" i="5" s="1"/>
  <c r="N1296" i="5"/>
  <c r="O1296" i="5" s="1"/>
  <c r="N1297" i="5"/>
  <c r="O1297" i="5" s="1"/>
  <c r="N1298" i="5"/>
  <c r="O1298" i="5" s="1"/>
  <c r="N1299" i="5"/>
  <c r="O1299" i="5" s="1"/>
  <c r="N1300" i="5"/>
  <c r="O1300" i="5" s="1"/>
  <c r="N1303" i="5"/>
  <c r="O1303" i="5" s="1"/>
  <c r="N1304" i="5"/>
  <c r="O1304" i="5" s="1"/>
  <c r="N820" i="5"/>
  <c r="O820" i="5" s="1"/>
  <c r="N821" i="5"/>
  <c r="O821" i="5" s="1"/>
  <c r="N825" i="5"/>
  <c r="O825" i="5" s="1"/>
  <c r="N826" i="5"/>
  <c r="O826" i="5" s="1"/>
  <c r="N814" i="5"/>
  <c r="O814" i="5" s="1"/>
  <c r="O192" i="5"/>
  <c r="O209" i="5" s="1"/>
  <c r="N871" i="5"/>
  <c r="O871" i="5" s="1"/>
  <c r="N215" i="5"/>
  <c r="O300" i="5"/>
  <c r="O303" i="5" s="1"/>
  <c r="N568" i="5"/>
  <c r="O568" i="5" s="1"/>
  <c r="N588" i="5"/>
  <c r="O588" i="5" s="1"/>
  <c r="N1486" i="5"/>
  <c r="N1490" i="5" s="1"/>
  <c r="N1301" i="5"/>
  <c r="O1301" i="5" s="1"/>
  <c r="N1302" i="5"/>
  <c r="O1302" i="5" s="1"/>
  <c r="N822" i="5"/>
  <c r="O822" i="5" s="1"/>
  <c r="N824" i="5"/>
  <c r="O824" i="5" s="1"/>
  <c r="N1819" i="5"/>
  <c r="O1819" i="5" s="1"/>
  <c r="B342" i="5"/>
  <c r="B827" i="5"/>
  <c r="B828" i="5" s="1"/>
  <c r="B341" i="5"/>
  <c r="B343" i="5"/>
  <c r="N1831" i="5"/>
  <c r="O1823" i="5"/>
  <c r="O1831" i="5" s="1"/>
  <c r="O1816" i="5"/>
  <c r="N1349" i="5"/>
  <c r="N1353" i="5" s="1"/>
  <c r="O1349" i="5"/>
  <c r="O1353" i="5" s="1"/>
  <c r="N1331" i="5"/>
  <c r="O1331" i="5"/>
  <c r="N1324" i="5"/>
  <c r="N1352" i="5" s="1"/>
  <c r="O1310" i="5"/>
  <c r="O1324" i="5" s="1"/>
  <c r="O1352" i="5" s="1"/>
  <c r="N1656" i="5"/>
  <c r="O1656" i="5" s="1"/>
  <c r="O1181" i="5"/>
  <c r="O1208" i="5" s="1"/>
  <c r="N1118" i="5"/>
  <c r="O1118" i="5" s="1"/>
  <c r="O1153" i="5"/>
  <c r="O1207" i="5" s="1"/>
  <c r="O1145" i="5"/>
  <c r="O899" i="5"/>
  <c r="O903" i="5" s="1"/>
  <c r="N900" i="5"/>
  <c r="O900" i="5" s="1"/>
  <c r="N847" i="5"/>
  <c r="O847" i="5" s="1"/>
  <c r="O839" i="5"/>
  <c r="O861" i="5" s="1"/>
  <c r="N1394" i="5"/>
  <c r="N1398" i="5" s="1"/>
  <c r="O1387" i="5"/>
  <c r="O1394" i="5" s="1"/>
  <c r="O1398" i="5" s="1"/>
  <c r="N1383" i="5"/>
  <c r="N1397" i="5" s="1"/>
  <c r="O1383" i="5"/>
  <c r="O1397" i="5" s="1"/>
  <c r="N1376" i="5"/>
  <c r="O1376" i="5"/>
  <c r="O965" i="5"/>
  <c r="O966" i="5" s="1"/>
  <c r="N961" i="5"/>
  <c r="O961" i="5"/>
  <c r="N954" i="5"/>
  <c r="O954" i="5"/>
  <c r="N617" i="5"/>
  <c r="O615" i="5"/>
  <c r="O617" i="5" s="1"/>
  <c r="N567" i="5"/>
  <c r="O567" i="5"/>
  <c r="O527" i="5"/>
  <c r="O546" i="5" s="1"/>
  <c r="N297" i="5"/>
  <c r="O294" i="5"/>
  <c r="O297" i="5" s="1"/>
  <c r="N281" i="5"/>
  <c r="O264" i="5"/>
  <c r="O281" i="5" s="1"/>
  <c r="N261" i="5"/>
  <c r="O244" i="5"/>
  <c r="O261" i="5" s="1"/>
  <c r="N291" i="5"/>
  <c r="O284" i="5"/>
  <c r="O291" i="5" s="1"/>
  <c r="O357" i="5"/>
  <c r="O356" i="5"/>
  <c r="N241" i="5"/>
  <c r="O238" i="5"/>
  <c r="O241" i="5" s="1"/>
  <c r="N235" i="5"/>
  <c r="O218" i="5"/>
  <c r="O235" i="5" s="1"/>
  <c r="N189" i="5"/>
  <c r="O181" i="5"/>
  <c r="O189" i="5" s="1"/>
  <c r="N43" i="5"/>
  <c r="O40" i="5"/>
  <c r="O43" i="5" s="1"/>
  <c r="N74" i="5"/>
  <c r="O71" i="5"/>
  <c r="O74" i="5" s="1"/>
  <c r="N68" i="5"/>
  <c r="O68" i="5"/>
  <c r="N37" i="5"/>
  <c r="O37" i="5"/>
  <c r="N12" i="5"/>
  <c r="O9" i="5"/>
  <c r="O12" i="5" s="1"/>
  <c r="K6" i="8"/>
  <c r="O215" i="5"/>
  <c r="N326" i="5"/>
  <c r="O326" i="5" s="1"/>
  <c r="K3" i="8"/>
  <c r="N514" i="5"/>
  <c r="N517" i="5" s="1"/>
  <c r="N1145" i="5"/>
  <c r="N1153" i="5"/>
  <c r="N1207" i="5" s="1"/>
  <c r="N1181" i="5"/>
  <c r="B1185" i="5"/>
  <c r="B1490" i="5"/>
  <c r="N1293" i="5"/>
  <c r="O1293" i="5" s="1"/>
  <c r="N819" i="5"/>
  <c r="B906" i="5"/>
  <c r="O802" i="5"/>
  <c r="O805" i="5" s="1"/>
  <c r="N805" i="5"/>
  <c r="N1680" i="5"/>
  <c r="O1680" i="5" s="1"/>
  <c r="B1682" i="5"/>
  <c r="B1683" i="5" s="1"/>
  <c r="N15" i="5"/>
  <c r="N46" i="5"/>
  <c r="B330" i="5"/>
  <c r="B349" i="5"/>
  <c r="B350" i="5"/>
  <c r="B351" i="5"/>
  <c r="N503" i="5"/>
  <c r="O503" i="5" s="1"/>
  <c r="O508" i="5" s="1"/>
  <c r="O1195" i="5"/>
  <c r="N1195" i="5"/>
  <c r="O1203" i="5"/>
  <c r="N1203" i="5"/>
  <c r="N839" i="5"/>
  <c r="N861" i="5" s="1"/>
  <c r="O843" i="5"/>
  <c r="O846" i="5" s="1"/>
  <c r="N846" i="5"/>
  <c r="N890" i="5"/>
  <c r="O890" i="5" s="1"/>
  <c r="N889" i="5"/>
  <c r="N902" i="5" s="1"/>
  <c r="N899" i="5"/>
  <c r="N903" i="5" s="1"/>
  <c r="O1459" i="5"/>
  <c r="N1459" i="5"/>
  <c r="N1489" i="5" s="1"/>
  <c r="B1306" i="5"/>
  <c r="B1307" i="5" s="1"/>
  <c r="N1292" i="5"/>
  <c r="N1359" i="5"/>
  <c r="O1359" i="5" s="1"/>
  <c r="N1360" i="5"/>
  <c r="O1360" i="5" s="1"/>
  <c r="N1362" i="5"/>
  <c r="O1362" i="5" s="1"/>
  <c r="N1363" i="5"/>
  <c r="O1363" i="5" s="1"/>
  <c r="N823" i="5"/>
  <c r="O823" i="5" s="1"/>
  <c r="O858" i="5"/>
  <c r="O862" i="5" s="1"/>
  <c r="N858" i="5"/>
  <c r="N862" i="5" s="1"/>
  <c r="O889" i="5"/>
  <c r="O902" i="5" s="1"/>
  <c r="O1593" i="5"/>
  <c r="N1593" i="5"/>
  <c r="N1358" i="5"/>
  <c r="O1645" i="5"/>
  <c r="N1645" i="5"/>
  <c r="O1655" i="5"/>
  <c r="N1655" i="5"/>
  <c r="N1721" i="5"/>
  <c r="O1721" i="5" s="1"/>
  <c r="B1850" i="5"/>
  <c r="N1843" i="5"/>
  <c r="O1843" i="5" s="1"/>
  <c r="O1611" i="5" l="1"/>
  <c r="B1549" i="5"/>
  <c r="O1577" i="5"/>
  <c r="O1605" i="5"/>
  <c r="O1583" i="5"/>
  <c r="B1555" i="5"/>
  <c r="B1545" i="5"/>
  <c r="O1545" i="5" s="1"/>
  <c r="O1573" i="5"/>
  <c r="B1558" i="5"/>
  <c r="O1558" i="5" s="1"/>
  <c r="O1586" i="5"/>
  <c r="O1587" i="5"/>
  <c r="B1559" i="5"/>
  <c r="O1546" i="5"/>
  <c r="N1546" i="5"/>
  <c r="B1617" i="5"/>
  <c r="B358" i="5"/>
  <c r="B364" i="5" s="1"/>
  <c r="N330" i="5"/>
  <c r="O330" i="5" s="1"/>
  <c r="N1146" i="5"/>
  <c r="O1146" i="5" s="1"/>
  <c r="B1186" i="5"/>
  <c r="N1186" i="5" s="1"/>
  <c r="O1186" i="5" s="1"/>
  <c r="N1112" i="5"/>
  <c r="O1112" i="5" s="1"/>
  <c r="N1109" i="5"/>
  <c r="N1354" i="5"/>
  <c r="O1399" i="5"/>
  <c r="E9" i="9"/>
  <c r="M336" i="5"/>
  <c r="M6" i="8" s="1"/>
  <c r="M338" i="5"/>
  <c r="M1859" i="5" s="1"/>
  <c r="D5" i="11"/>
  <c r="B5" i="11"/>
  <c r="C5" i="11"/>
  <c r="E5" i="11"/>
  <c r="E4" i="11"/>
  <c r="C4" i="11"/>
  <c r="C3" i="11"/>
  <c r="D3" i="11"/>
  <c r="B3" i="11"/>
  <c r="B4" i="11"/>
  <c r="E3" i="11"/>
  <c r="B6" i="8"/>
  <c r="N335" i="5"/>
  <c r="F6" i="11"/>
  <c r="N334" i="5"/>
  <c r="N969" i="5"/>
  <c r="O969" i="5" s="1"/>
  <c r="N1587" i="5"/>
  <c r="N361" i="5"/>
  <c r="N350" i="5"/>
  <c r="O350" i="5" s="1"/>
  <c r="B1630" i="5"/>
  <c r="O1630" i="5" s="1"/>
  <c r="N351" i="5"/>
  <c r="O351" i="5" s="1"/>
  <c r="N343" i="5"/>
  <c r="B344" i="5"/>
  <c r="N342" i="5"/>
  <c r="N358" i="5"/>
  <c r="B352" i="5"/>
  <c r="B1861" i="5" s="1"/>
  <c r="B1209" i="5"/>
  <c r="B815" i="5"/>
  <c r="N1460" i="5"/>
  <c r="O1460" i="5" s="1"/>
  <c r="N970" i="5"/>
  <c r="N1646" i="5"/>
  <c r="O1646" i="5" s="1"/>
  <c r="B1399" i="5"/>
  <c r="B971" i="5"/>
  <c r="B1354" i="5"/>
  <c r="B338" i="5"/>
  <c r="B1491" i="5"/>
  <c r="N813" i="5"/>
  <c r="O813" i="5" s="1"/>
  <c r="O815" i="5" s="1"/>
  <c r="B1849" i="5"/>
  <c r="N1377" i="5"/>
  <c r="O1377" i="5" s="1"/>
  <c r="N1858" i="5"/>
  <c r="O1858" i="5" s="1"/>
  <c r="N1565" i="5"/>
  <c r="N547" i="5"/>
  <c r="O547" i="5" s="1"/>
  <c r="N1399" i="5"/>
  <c r="O1489" i="5"/>
  <c r="O1491" i="5" s="1"/>
  <c r="J6" i="8"/>
  <c r="N1820" i="5"/>
  <c r="O906" i="5"/>
  <c r="N1491" i="5"/>
  <c r="N1205" i="5"/>
  <c r="O1205" i="5" s="1"/>
  <c r="N521" i="5"/>
  <c r="O521" i="5" s="1"/>
  <c r="N1848" i="5"/>
  <c r="O1848" i="5" s="1"/>
  <c r="O1820" i="5"/>
  <c r="O593" i="5"/>
  <c r="N859" i="5"/>
  <c r="O859" i="5" s="1"/>
  <c r="O1682" i="5"/>
  <c r="O1686" i="5" s="1"/>
  <c r="N828" i="5"/>
  <c r="O828" i="5" s="1"/>
  <c r="N806" i="5"/>
  <c r="O806" i="5" s="1"/>
  <c r="N1846" i="5"/>
  <c r="O1846" i="5" s="1"/>
  <c r="N363" i="5"/>
  <c r="O363" i="5" s="1"/>
  <c r="N341" i="5"/>
  <c r="N593" i="5"/>
  <c r="N1307" i="5"/>
  <c r="O1307" i="5" s="1"/>
  <c r="N1395" i="5"/>
  <c r="O1395" i="5" s="1"/>
  <c r="N1384" i="5"/>
  <c r="O1384" i="5" s="1"/>
  <c r="N1350" i="5"/>
  <c r="O1350" i="5" s="1"/>
  <c r="N1204" i="5"/>
  <c r="O1204" i="5" s="1"/>
  <c r="O1354" i="5"/>
  <c r="N1325" i="5"/>
  <c r="O1325" i="5" s="1"/>
  <c r="N1682" i="5"/>
  <c r="N1686" i="5" s="1"/>
  <c r="O1185" i="5"/>
  <c r="O1209" i="5"/>
  <c r="O1224" i="5" s="1"/>
  <c r="O905" i="5"/>
  <c r="N905" i="5"/>
  <c r="N323" i="5"/>
  <c r="O323" i="5"/>
  <c r="N333" i="5"/>
  <c r="N1851" i="5"/>
  <c r="O1851" i="5" s="1"/>
  <c r="N1845" i="5"/>
  <c r="O1845" i="5" s="1"/>
  <c r="N1306" i="5"/>
  <c r="O1292" i="5"/>
  <c r="O1306" i="5" s="1"/>
  <c r="N906" i="5"/>
  <c r="N840" i="5"/>
  <c r="O840" i="5" s="1"/>
  <c r="N1182" i="5"/>
  <c r="O1182" i="5" s="1"/>
  <c r="N49" i="5"/>
  <c r="O46" i="5"/>
  <c r="O49" i="5" s="1"/>
  <c r="L6" i="8"/>
  <c r="N18" i="5"/>
  <c r="O15" i="5"/>
  <c r="O18" i="5" s="1"/>
  <c r="B1687" i="5"/>
  <c r="B1686" i="5"/>
  <c r="N1683" i="5"/>
  <c r="O1683" i="5" s="1"/>
  <c r="N1208" i="5"/>
  <c r="N1209" i="5" s="1"/>
  <c r="N1224" i="5" s="1"/>
  <c r="N1185" i="5"/>
  <c r="O514" i="5"/>
  <c r="O517" i="5" s="1"/>
  <c r="N1850" i="5"/>
  <c r="O1850" i="5" s="1"/>
  <c r="N1365" i="5"/>
  <c r="O1358" i="5"/>
  <c r="O1365" i="5" s="1"/>
  <c r="N1154" i="5"/>
  <c r="O1154" i="5" s="1"/>
  <c r="N962" i="5"/>
  <c r="O962" i="5" s="1"/>
  <c r="B1865" i="5"/>
  <c r="N349" i="5"/>
  <c r="O819" i="5"/>
  <c r="O827" i="5" s="1"/>
  <c r="N827" i="5"/>
  <c r="N1487" i="5"/>
  <c r="O1487" i="5" s="1"/>
  <c r="N329" i="5"/>
  <c r="I6" i="8"/>
  <c r="N508" i="5"/>
  <c r="N1558" i="5" l="1"/>
  <c r="N1545" i="5"/>
  <c r="O1559" i="5"/>
  <c r="N1559" i="5"/>
  <c r="O1555" i="5"/>
  <c r="N1555" i="5"/>
  <c r="N1556" i="5"/>
  <c r="O1556" i="5"/>
  <c r="O1109" i="5"/>
  <c r="B1187" i="5"/>
  <c r="N1113" i="5"/>
  <c r="O1113" i="5" s="1"/>
  <c r="N338" i="5"/>
  <c r="O338" i="5" s="1"/>
  <c r="O341" i="5"/>
  <c r="O343" i="5"/>
  <c r="O342" i="5"/>
  <c r="O334" i="5"/>
  <c r="O335" i="5"/>
  <c r="E6" i="11"/>
  <c r="B346" i="5"/>
  <c r="N346" i="5" s="1"/>
  <c r="O346" i="5" s="1"/>
  <c r="B6" i="11"/>
  <c r="C6" i="11"/>
  <c r="B1589" i="5"/>
  <c r="B1620" i="5"/>
  <c r="N1586" i="5"/>
  <c r="N1583" i="5"/>
  <c r="N1573" i="5"/>
  <c r="N971" i="5"/>
  <c r="N1625" i="5"/>
  <c r="N1630" i="5" s="1"/>
  <c r="N1577" i="5"/>
  <c r="O333" i="5"/>
  <c r="N336" i="5"/>
  <c r="O349" i="5"/>
  <c r="N352" i="5"/>
  <c r="O352" i="5" s="1"/>
  <c r="O970" i="5"/>
  <c r="O971" i="5" s="1"/>
  <c r="O1625" i="5"/>
  <c r="N815" i="5"/>
  <c r="N1849" i="5"/>
  <c r="O1849" i="5" s="1"/>
  <c r="O907" i="5"/>
  <c r="N344" i="5"/>
  <c r="O361" i="5"/>
  <c r="N1861" i="5"/>
  <c r="O1861" i="5" s="1"/>
  <c r="N362" i="5"/>
  <c r="O362" i="5" s="1"/>
  <c r="N1867" i="5"/>
  <c r="O1867" i="5" s="1"/>
  <c r="N907" i="5"/>
  <c r="O329" i="5"/>
  <c r="O355" i="5"/>
  <c r="O358" i="5"/>
  <c r="B1859" i="5"/>
  <c r="N1865" i="5"/>
  <c r="O1865" i="5" s="1"/>
  <c r="B1868" i="5"/>
  <c r="N1868" i="5" s="1"/>
  <c r="O1868" i="5" s="1"/>
  <c r="N1687" i="5"/>
  <c r="O1687" i="5" s="1"/>
  <c r="B1619" i="5" l="1"/>
  <c r="B1621" i="5" s="1"/>
  <c r="O1589" i="5"/>
  <c r="N1114" i="5"/>
  <c r="O1114" i="5" s="1"/>
  <c r="O1117" i="5" s="1"/>
  <c r="N1187" i="5"/>
  <c r="O1187" i="5" s="1"/>
  <c r="N1617" i="5"/>
  <c r="N1589" i="5"/>
  <c r="O336" i="5"/>
  <c r="O344" i="5"/>
  <c r="N1620" i="5"/>
  <c r="O1620" i="5"/>
  <c r="O1617" i="5"/>
  <c r="N1859" i="5"/>
  <c r="O1859" i="5" s="1"/>
  <c r="N1860" i="5"/>
  <c r="O1860" i="5" s="1"/>
  <c r="B1862" i="5"/>
  <c r="N1475" i="5" s="1"/>
  <c r="O1475" i="5" s="1"/>
  <c r="N364" i="5"/>
  <c r="O364" i="5" s="1"/>
  <c r="N1619" i="5" l="1"/>
  <c r="O1619" i="5"/>
  <c r="N1117" i="5"/>
  <c r="N1621" i="5"/>
  <c r="O1621" i="5"/>
  <c r="N1862" i="5"/>
  <c r="O1862" i="5" s="1"/>
  <c r="N1863" i="5"/>
  <c r="O1863" i="5" s="1"/>
  <c r="O558" i="5"/>
  <c r="B524" i="5" l="1"/>
  <c r="B1866" i="5" s="1"/>
  <c r="N559" i="5"/>
  <c r="O559" i="5" s="1"/>
  <c r="N558" i="5"/>
  <c r="N524" i="5" l="1"/>
  <c r="O524" i="5" s="1"/>
  <c r="N1866" i="5"/>
  <c r="O1866" i="5" s="1"/>
  <c r="N523" i="5"/>
  <c r="O523" i="5"/>
  <c r="N880" i="5"/>
  <c r="O880" i="5" s="1"/>
  <c r="B882" i="5"/>
  <c r="B883" i="5" s="1"/>
  <c r="N878" i="5"/>
  <c r="O878" i="5" s="1"/>
  <c r="B902" i="5"/>
  <c r="B905" i="5" s="1"/>
  <c r="B907" i="5" s="1"/>
  <c r="B870" i="5"/>
  <c r="B872" i="5" s="1"/>
  <c r="B873" i="5" s="1"/>
  <c r="O1549" i="5" l="1"/>
  <c r="N1549" i="5"/>
  <c r="O882" i="5"/>
  <c r="N883" i="5"/>
  <c r="O883" i="5" s="1"/>
  <c r="N868" i="5"/>
  <c r="O868" i="5" s="1"/>
  <c r="N870" i="5"/>
  <c r="O870" i="5" s="1"/>
  <c r="N882" i="5"/>
  <c r="O872" i="5" l="1"/>
  <c r="N872" i="5"/>
  <c r="N873" i="5"/>
  <c r="O873" i="5" s="1"/>
  <c r="B1240" i="5"/>
  <c r="N1240" i="5" s="1"/>
  <c r="O1240" i="5" s="1"/>
  <c r="N1223" i="5"/>
  <c r="O1223" i="5" s="1"/>
  <c r="B1224" i="5" l="1"/>
  <c r="B1225" i="5" s="1"/>
  <c r="N1225" i="5" l="1"/>
  <c r="N1239" i="5" s="1"/>
  <c r="O1225" i="5" l="1"/>
  <c r="O1239" i="5" s="1"/>
  <c r="O1557" i="5"/>
  <c r="O1561" i="5" s="1"/>
  <c r="N1557" i="5"/>
  <c r="N1561" i="5" s="1"/>
  <c r="B1561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Rodrigo Moraes</author>
    <author>Maria Santos</author>
    <author>INFO</author>
    <author>Rodrigo da Silva Moraes</author>
    <author>Jefferson Barbosa Junior</author>
  </authors>
  <commentList>
    <comment ref="M24" authorId="0" shapeId="0" xr:uid="{DA550F01-2380-4487-A612-FF4655821D8D}">
      <text>
        <r>
          <rPr>
            <b/>
            <sz val="9"/>
            <color indexed="81"/>
            <rFont val="Segoe UI"/>
            <family val="2"/>
          </rPr>
          <t xml:space="preserve">Rodrigo Moraes:
</t>
        </r>
        <r>
          <rPr>
            <sz val="7"/>
            <color indexed="81"/>
            <rFont val="Arial"/>
            <family val="2"/>
          </rPr>
          <t>CLINICA GERAL - 598
ENDOSCOPIA - 16</t>
        </r>
      </text>
    </comment>
    <comment ref="E27" authorId="0" shapeId="0" xr:uid="{00000000-0006-0000-0200-000001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228 - Clínica Médica
15 - Nutrologa</t>
        </r>
      </text>
    </comment>
    <comment ref="F27" authorId="0" shapeId="0" xr:uid="{00000000-0006-0000-0200-000002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134 - Clínica Médica
260 - Nutrologa</t>
        </r>
      </text>
    </comment>
    <comment ref="G27" authorId="0" shapeId="0" xr:uid="{00000000-0006-0000-0200-000003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Clínica Médica: 440
Nutrologia: 26</t>
        </r>
      </text>
    </comment>
    <comment ref="H27" authorId="0" shapeId="0" xr:uid="{00000000-0006-0000-0200-000004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402 - Clinica Médica
41 - Nutrologia</t>
        </r>
      </text>
    </comment>
    <comment ref="J27" authorId="1" shapeId="0" xr:uid="{00000000-0006-0000-0200-000005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Clinica Médica : 421
Nutrologia: 20</t>
        </r>
      </text>
    </comment>
    <comment ref="K27" authorId="1" shapeId="0" xr:uid="{00000000-0006-0000-0200-000006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Clinica Médica: 219
Nutrologia: 79
</t>
        </r>
      </text>
    </comment>
    <comment ref="L27" authorId="0" shapeId="0" xr:uid="{83BAC10B-F3CF-4D6B-9F54-9C851E754D38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Clínica Médica: 175
Nutrologia: 53
Otorrinolaringologia: 1</t>
        </r>
      </text>
    </comment>
    <comment ref="M27" authorId="0" shapeId="0" xr:uid="{D2C47D6A-BFC8-483C-AE19-7DD2E183E36F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CLÍNICA MEDICA - 176
OTORRINO - 2
NUTROLOGIA - 37 </t>
        </r>
      </text>
    </comment>
    <comment ref="M55" authorId="0" shapeId="0" xr:uid="{4F5E1DBA-C8FE-4984-8A2F-9ADF89427765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CLINICA CIRURGICA - 126
ENDOSCOPIA - 2</t>
        </r>
      </text>
    </comment>
    <comment ref="E58" authorId="0" shapeId="0" xr:uid="{00000000-0006-0000-0200-000007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CLÍNICA MÉDICA - 10
NUTROLOGIA - 14</t>
        </r>
      </text>
    </comment>
    <comment ref="F58" authorId="0" shapeId="0" xr:uid="{00000000-0006-0000-0200-000008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13 - Clínica Médica
2 - Nutrologia</t>
        </r>
      </text>
    </comment>
    <comment ref="G58" authorId="0" shapeId="0" xr:uid="{00000000-0006-0000-0200-000009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Clinica Médica: 27
Nutrologia: 3</t>
        </r>
      </text>
    </comment>
    <comment ref="J58" authorId="1" shapeId="0" xr:uid="{00000000-0006-0000-0200-00000A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Clinica Médica: 29
Nutrologia: 1</t>
        </r>
      </text>
    </comment>
    <comment ref="K58" authorId="1" shapeId="0" xr:uid="{00000000-0006-0000-0200-00000B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Clinica Médica: 12
Nutrologia: 6
</t>
        </r>
      </text>
    </comment>
    <comment ref="L58" authorId="0" shapeId="0" xr:uid="{AFB756DC-9387-4307-9703-E03897ADE38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Clínica Médica: 11
Nutrologia: 5
Otorrinolaringologia: 2</t>
        </r>
      </text>
    </comment>
    <comment ref="M58" authorId="0" shapeId="0" xr:uid="{B2AE0753-2A6F-41C5-8F65-C4CA61ABEC21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CLINICA MEDICA - 9
NUTROLOGIA - 2
OTORRINO - 2</t>
        </r>
      </text>
    </comment>
    <comment ref="E177" authorId="0" shapeId="0" xr:uid="{00000000-0006-0000-0200-00000C000000}">
      <text>
        <r>
          <rPr>
            <b/>
            <sz val="10"/>
            <color indexed="81"/>
            <rFont val="Arial"/>
            <family val="2"/>
          </rPr>
          <t>Rodrigo Moraes:</t>
        </r>
        <r>
          <rPr>
            <sz val="10"/>
            <color indexed="81"/>
            <rFont val="Arial"/>
            <family val="2"/>
          </rPr>
          <t xml:space="preserve">
TO/Paraíso do Tocantis - 1</t>
        </r>
      </text>
    </comment>
    <comment ref="G177" authorId="0" shapeId="0" xr:uid="{00000000-0006-0000-0200-00000D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MG/Araguari</t>
        </r>
      </text>
    </comment>
    <comment ref="H177" authorId="0" shapeId="0" xr:uid="{00000000-0006-0000-0200-00000E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TO/Paraiso do Tocantis</t>
        </r>
      </text>
    </comment>
    <comment ref="K177" authorId="1" shapeId="0" xr:uid="{00000000-0006-0000-0200-00000F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Xinguara: 1
</t>
        </r>
      </text>
    </comment>
    <comment ref="L177" authorId="0" shapeId="0" xr:uid="{39EC6B4D-BB8F-4C5A-B03F-BD146185B34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AP/Porto Grande - 1
RR/Boa Vista - 1
RS/Parobe - 1</t>
        </r>
      </text>
    </comment>
    <comment ref="L195" authorId="0" shapeId="0" xr:uid="{0ADBF692-D1BC-4A4B-8467-0DA9F453FDA8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Cirurgia Geral - 121
Mastologia - 1
Endoscopia - 1
</t>
        </r>
      </text>
    </comment>
    <comment ref="M195" authorId="0" shapeId="0" xr:uid="{989C9318-6CD2-4497-A64D-99317A6F2B36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CLINICA CIRURGICA - 132
ENDOSCOPIA - 2</t>
        </r>
      </text>
    </comment>
    <comment ref="F198" authorId="0" shapeId="0" xr:uid="{00000000-0006-0000-0200-000010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8 - CLÍNICA MÉDICA
7 - NUTROLOGIA</t>
        </r>
      </text>
    </comment>
    <comment ref="G198" authorId="0" shapeId="0" xr:uid="{00000000-0006-0000-0200-000011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17 - CLÍNICA MÉDICA
1 - NUTROLOGIA</t>
        </r>
      </text>
    </comment>
    <comment ref="H198" authorId="0" shapeId="0" xr:uid="{00000000-0006-0000-0200-000012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35 - Clínica Médica
1 - Nutrologia
</t>
        </r>
      </text>
    </comment>
    <comment ref="J198" authorId="1" shapeId="0" xr:uid="{00000000-0006-0000-0200-000013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Clinica Médica: 24
Nutrologia: 4</t>
        </r>
      </text>
    </comment>
    <comment ref="K198" authorId="1" shapeId="0" xr:uid="{00000000-0006-0000-0200-000014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Clinica Médica: 19
Nutrologia: 4</t>
        </r>
      </text>
    </comment>
    <comment ref="L198" authorId="0" shapeId="0" xr:uid="{BCCAD0AC-0C88-4642-8930-349797D3AD58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Cliínica Médica - 10
Nutrologia - 20
Otorrinolaringologia - 4</t>
        </r>
      </text>
    </comment>
    <comment ref="M198" authorId="0" shapeId="0" xr:uid="{70E83034-08E5-4698-BDAB-A06C93A2118E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CLINICA MEDICA - 14
OTORRONO - 5</t>
        </r>
      </text>
    </comment>
    <comment ref="F224" authorId="0" shapeId="0" xr:uid="{00000000-0006-0000-0200-000015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2 - Clinica Médica
1 - Nutrologia</t>
        </r>
      </text>
    </comment>
    <comment ref="H224" authorId="0" shapeId="0" xr:uid="{00000000-0006-0000-0200-000016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Nutrologia
4 - Clínica Médica
</t>
        </r>
      </text>
    </comment>
    <comment ref="K224" authorId="1" shapeId="0" xr:uid="{00000000-0006-0000-0200-000017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Clinica Médica: 5
Nutrologia: 1
</t>
        </r>
      </text>
    </comment>
    <comment ref="F250" authorId="0" shapeId="0" xr:uid="{00000000-0006-0000-0200-000018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2 - Clinica Médica
1 - Nutrologia</t>
        </r>
      </text>
    </comment>
    <comment ref="F270" authorId="0" shapeId="0" xr:uid="{00000000-0006-0000-0200-000019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2 - Clinica Médica
1 - Nutrologia</t>
        </r>
      </text>
    </comment>
    <comment ref="H270" authorId="0" shapeId="0" xr:uid="{00000000-0006-0000-0200-00001A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Nutrologia
4 - Clínica Médica
</t>
        </r>
      </text>
    </comment>
    <comment ref="K270" authorId="1" shapeId="0" xr:uid="{00000000-0006-0000-0200-00001B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Clinica Médica: 5
Nutrologia: 1</t>
        </r>
      </text>
    </comment>
    <comment ref="B398" authorId="0" shapeId="0" xr:uid="{00000000-0006-0000-0200-00001C000000}">
      <text>
        <r>
          <rPr>
            <b/>
            <sz val="12"/>
            <color indexed="81"/>
            <rFont val="Arial"/>
            <family val="2"/>
          </rPr>
          <t>Rodrigo Moraes:</t>
        </r>
        <r>
          <rPr>
            <sz val="12"/>
            <color indexed="81"/>
            <rFont val="Arial"/>
            <family val="2"/>
          </rPr>
          <t xml:space="preserve">
2 - HEMATOLOGIA</t>
        </r>
      </text>
    </comment>
    <comment ref="E398" authorId="0" shapeId="0" xr:uid="{00000000-0006-0000-0200-00001D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HEMATOLOGIA</t>
        </r>
      </text>
    </comment>
    <comment ref="F398" authorId="0" shapeId="0" xr:uid="{00000000-0006-0000-0200-00001E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HEMATOLOGIA</t>
        </r>
      </text>
    </comment>
    <comment ref="H398" authorId="0" shapeId="0" xr:uid="{00000000-0006-0000-0200-00001F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HEMATOLOGIA</t>
        </r>
      </text>
    </comment>
    <comment ref="K398" authorId="1" shapeId="0" xr:uid="{00000000-0006-0000-0200-000020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Otorrino: 1</t>
        </r>
      </text>
    </comment>
    <comment ref="L398" authorId="0" shapeId="0" xr:uid="{9B07A3CD-C50C-4B78-A0FD-2D17576AC70F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Otorrino - 7
</t>
        </r>
      </text>
    </comment>
    <comment ref="M398" authorId="0" shapeId="0" xr:uid="{75F860E6-CC45-4C38-B641-B9FB536B303F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Otorrino - 11
CPRE - 13</t>
        </r>
      </text>
    </comment>
    <comment ref="K414" authorId="1" shapeId="0" xr:uid="{00000000-0006-0000-0200-000021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Otorrino: 1 Cirurgia</t>
        </r>
      </text>
    </comment>
    <comment ref="G431" authorId="2" shapeId="0" xr:uid="{00000000-0006-0000-0200-000022000000}">
      <text>
        <r>
          <rPr>
            <b/>
            <sz val="9"/>
            <color indexed="81"/>
            <rFont val="Segoe UI"/>
            <family val="2"/>
          </rPr>
          <t>Maria:</t>
        </r>
        <r>
          <rPr>
            <sz val="9"/>
            <color indexed="81"/>
            <rFont val="Segoe UI"/>
            <family val="2"/>
          </rPr>
          <t xml:space="preserve">
01- Peritoniostomia
01- Artiografia de Membro
02- Angioplastia com Implante de duplo stent
03- Toracostomia com Drenagem Pleural Fechada
01- Biopsia de Pele e Partes Mole.</t>
        </r>
      </text>
    </comment>
    <comment ref="H431" authorId="0" shapeId="0" xr:uid="{00000000-0006-0000-0200-000023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Colecistectomia
1 - Fechamento de Colostomia
1 - Fasciotomia
2 - Biopsia de Pele
1 - Exerese de Ganglio Linfatico
1 - Descorticação Pulmonar
1 - Toracostomia</t>
        </r>
      </text>
    </comment>
    <comment ref="I431" authorId="0" shapeId="0" xr:uid="{00000000-0006-0000-0200-000024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3 - Toracostomia com Drenagem
1 - Implantação de Cateter
1 - Colecistectomia
1 - Apendicectomia
1 - Drenagem de Abcesso
1 - Drenagem de Hematoma
1 - Ressutura de Parede Abdomina</t>
        </r>
      </text>
    </comment>
    <comment ref="J431" authorId="1" shapeId="0" xr:uid="{00000000-0006-0000-0200-000025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1 - Colangiopancreatografia
2 - Peritoniostomia
1 - Implantação de cateter
2 - Toracostomia
1 - Colecistectomia </t>
        </r>
      </text>
    </comment>
    <comment ref="K431" authorId="1" shapeId="0" xr:uid="{00000000-0006-0000-0200-000026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1 - Colangiopancreatografia
</t>
        </r>
      </text>
    </comment>
    <comment ref="L431" authorId="0" shapeId="0" xr:uid="{1D5A252F-D004-46E1-9EAF-2CA20BA1901D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Anastomose Biliodigestiva - 1
</t>
        </r>
      </text>
    </comment>
    <comment ref="M431" authorId="0" shapeId="0" xr:uid="{C8862534-51B6-426F-A945-0F5035DFC1D9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GASTROSTOMIA - 1
FISTULECTOMIA - 1
APENDICECTOMIA - 1</t>
        </r>
      </text>
    </comment>
    <comment ref="E432" authorId="0" shapeId="0" xr:uid="{00000000-0006-0000-0200-000027000000}">
      <text>
        <r>
          <rPr>
            <b/>
            <sz val="10"/>
            <color indexed="81"/>
            <rFont val="Arial"/>
            <family val="2"/>
          </rPr>
          <t>Rodrigo Moraes:</t>
        </r>
        <r>
          <rPr>
            <sz val="10"/>
            <color indexed="81"/>
            <rFont val="Arial"/>
            <family val="2"/>
          </rPr>
          <t xml:space="preserve">
1 - Amputação / Desarticulaçãode pé e tarso
1 - Apendicectomia
1 - Toracostomia com Drenagem Pleural Fechada</t>
        </r>
      </text>
    </comment>
    <comment ref="F432" authorId="0" shapeId="0" xr:uid="{00000000-0006-0000-0200-000028000000}">
      <text>
        <r>
          <rPr>
            <b/>
            <sz val="10"/>
            <color indexed="81"/>
            <rFont val="Arial"/>
            <family val="2"/>
          </rPr>
          <t>Rodrigo Moraes:</t>
        </r>
        <r>
          <rPr>
            <sz val="10"/>
            <color indexed="81"/>
            <rFont val="Arial"/>
            <family val="2"/>
          </rPr>
          <t xml:space="preserve">
1 - Amputação / Desarticulaçãode pé e tarso
1 - Apendicectomia
1 - Toracostomia com Drenagem Pleural Fechada</t>
        </r>
      </text>
    </comment>
    <comment ref="J503" authorId="1" shapeId="0" xr:uid="{00000000-0006-0000-0200-000029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Autoclave 01: 106
Autoclave 02: 12</t>
        </r>
      </text>
    </comment>
    <comment ref="K503" authorId="1" shapeId="0" xr:uid="{00000000-0006-0000-0200-00002A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Autoclave 01: 62
Autoclave 02: 90 </t>
        </r>
      </text>
    </comment>
    <comment ref="L503" authorId="0" shapeId="0" xr:uid="{BAB7F747-3FC6-412E-B3F5-64F9226877F1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Autoclave 1 - 69
Autoclave 2 - 90</t>
        </r>
      </text>
    </comment>
    <comment ref="M503" authorId="0" shapeId="0" xr:uid="{38AF3A07-9330-46E8-933D-F793F235605A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Autoclave 1 - 60
Autoclave 2 - 86</t>
        </r>
      </text>
    </comment>
    <comment ref="J601" authorId="1" shapeId="0" xr:uid="{00000000-0006-0000-0200-00002B000000}">
      <text>
        <r>
          <rPr>
            <b/>
            <sz val="9"/>
            <color indexed="81"/>
            <rFont val="Segoe UI"/>
            <family val="2"/>
          </rPr>
          <t xml:space="preserve">Maria Santos:
</t>
        </r>
        <r>
          <rPr>
            <sz val="9"/>
            <color indexed="81"/>
            <rFont val="Segoe UI"/>
            <family val="2"/>
          </rPr>
          <t xml:space="preserve"> visita aos pacientes da endoscopia.</t>
        </r>
      </text>
    </comment>
    <comment ref="G645" authorId="2" shapeId="0" xr:uid="{00000000-0006-0000-0200-00002C000000}">
      <text>
        <r>
          <rPr>
            <b/>
            <sz val="9"/>
            <color indexed="81"/>
            <rFont val="Segoe UI"/>
            <family val="2"/>
          </rPr>
          <t>INFO:</t>
        </r>
        <r>
          <rPr>
            <sz val="9"/>
            <color indexed="81"/>
            <rFont val="Segoe UI"/>
            <family val="2"/>
          </rPr>
          <t xml:space="preserve">
Clinica Cirurgica: 14
Centro Cirurgico: 01</t>
        </r>
      </text>
    </comment>
    <comment ref="C838" authorId="0" shapeId="0" xr:uid="{00000000-0006-0000-0200-00002D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2 - GTT</t>
        </r>
      </text>
    </comment>
    <comment ref="J838" authorId="1" shapeId="0" xr:uid="{00000000-0006-0000-0200-00002E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GTT : 04
Sonda nasoenteral:2</t>
        </r>
      </text>
    </comment>
    <comment ref="K838" authorId="1" shapeId="0" xr:uid="{00000000-0006-0000-0200-00002F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Sonda Nasoenteral:1
GTT: 1</t>
        </r>
      </text>
    </comment>
    <comment ref="B857" authorId="3" shapeId="0" xr:uid="{00000000-0006-0000-0200-000030000000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GTT</t>
        </r>
      </text>
    </comment>
    <comment ref="A949" authorId="4" shapeId="0" xr:uid="{00000000-0006-0000-0200-000031000000}">
      <text>
        <r>
          <rPr>
            <b/>
            <sz val="9"/>
            <color indexed="81"/>
            <rFont val="Segoe UI"/>
            <family val="2"/>
          </rPr>
          <t>Imunologia + Sorologia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952" authorId="3" shapeId="0" xr:uid="{00000000-0006-0000-0200-000032000000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Parasitologia + Fezes
</t>
        </r>
      </text>
    </comment>
    <comment ref="B959" authorId="0" shapeId="0" xr:uid="{00000000-0006-0000-0200-000033000000}">
      <text>
        <r>
          <rPr>
            <b/>
            <sz val="12"/>
            <color indexed="81"/>
            <rFont val="Arial"/>
            <family val="2"/>
          </rPr>
          <t>Rodrigo Moraes:</t>
        </r>
        <r>
          <rPr>
            <sz val="12"/>
            <color indexed="81"/>
            <rFont val="Arial"/>
            <family val="2"/>
          </rPr>
          <t xml:space="preserve">
</t>
        </r>
        <r>
          <rPr>
            <b/>
            <sz val="12"/>
            <color indexed="81"/>
            <rFont val="Arial"/>
            <family val="2"/>
          </rPr>
          <t xml:space="preserve">4ª ANDAR: </t>
        </r>
        <r>
          <rPr>
            <sz val="12"/>
            <color indexed="81"/>
            <rFont val="Arial"/>
            <family val="2"/>
          </rPr>
          <t xml:space="preserve">2.473
</t>
        </r>
        <r>
          <rPr>
            <b/>
            <sz val="12"/>
            <color indexed="81"/>
            <rFont val="Arial"/>
            <family val="2"/>
          </rPr>
          <t>5ª ANDAR:</t>
        </r>
        <r>
          <rPr>
            <sz val="12"/>
            <color indexed="81"/>
            <rFont val="Arial"/>
            <family val="2"/>
          </rPr>
          <t xml:space="preserve"> 2.354</t>
        </r>
      </text>
    </comment>
    <comment ref="B1027" authorId="0" shapeId="0" xr:uid="{00000000-0006-0000-0200-000034000000}">
      <text>
        <r>
          <rPr>
            <b/>
            <sz val="12"/>
            <color indexed="81"/>
            <rFont val="Arial"/>
            <family val="2"/>
          </rPr>
          <t>Rodrigo Moraes:</t>
        </r>
        <r>
          <rPr>
            <sz val="12"/>
            <color indexed="81"/>
            <rFont val="Arial"/>
            <family val="2"/>
          </rPr>
          <t xml:space="preserve">
1 - CINTILOGTAFIA DE OSSOS </t>
        </r>
      </text>
    </comment>
    <comment ref="E1027" authorId="0" shapeId="0" xr:uid="{00000000-0006-0000-0200-000035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CINTILOGRAFIA RENAL/RENOGRAMA</t>
        </r>
      </text>
    </comment>
    <comment ref="H1027" authorId="0" shapeId="0" xr:uid="{00000000-0006-0000-0200-000036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Cintilografia de Pulmão p/ Pesquisa</t>
        </r>
      </text>
    </comment>
    <comment ref="D1144" authorId="0" shapeId="0" xr:uid="{00000000-0006-0000-0200-000037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COLUNA TORACICA DORSAL</t>
        </r>
      </text>
    </comment>
    <comment ref="L1144" authorId="0" shapeId="0" xr:uid="{742454DA-EBC2-4D43-9886-4C2EB4E21CC6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RX DE COXA</t>
        </r>
      </text>
    </comment>
    <comment ref="B1180" authorId="0" shapeId="0" xr:uid="{00000000-0006-0000-0200-000038000000}">
      <text>
        <r>
          <rPr>
            <b/>
            <sz val="10"/>
            <color indexed="81"/>
            <rFont val="Arial"/>
            <family val="2"/>
          </rPr>
          <t>Rodrigo Moraes:</t>
        </r>
        <r>
          <rPr>
            <sz val="10"/>
            <color indexed="81"/>
            <rFont val="Arial"/>
            <family val="2"/>
          </rPr>
          <t xml:space="preserve">
9 - RX DE COLUNA TORACICA-DORSAL
1 - RX DE COXA</t>
        </r>
      </text>
    </comment>
    <comment ref="C1180" authorId="0" shapeId="0" xr:uid="{00000000-0006-0000-0200-000039000000}">
      <text>
        <r>
          <rPr>
            <b/>
            <sz val="10"/>
            <color indexed="81"/>
            <rFont val="Arial"/>
            <family val="2"/>
          </rPr>
          <t>Rodrigo Moraes:</t>
        </r>
        <r>
          <rPr>
            <sz val="10"/>
            <color indexed="81"/>
            <rFont val="Arial"/>
            <family val="2"/>
          </rPr>
          <t xml:space="preserve">
2 - RX DE COLUNA TORACICA-DORSAL
</t>
        </r>
      </text>
    </comment>
    <comment ref="D1180" authorId="0" shapeId="0" xr:uid="{00000000-0006-0000-0200-00003A000000}">
      <text>
        <r>
          <rPr>
            <b/>
            <sz val="10"/>
            <color indexed="81"/>
            <rFont val="Arial"/>
            <family val="2"/>
          </rPr>
          <t>Rodrigo Moraes:</t>
        </r>
        <r>
          <rPr>
            <sz val="10"/>
            <color indexed="81"/>
            <rFont val="Arial"/>
            <family val="2"/>
          </rPr>
          <t xml:space="preserve">
1 - RX DE ARTICULAÇÃO COXO-FEMORAL
8 - RX DE COLUNA TORACICA DORSAL
2 - RX DE COXA</t>
        </r>
      </text>
    </comment>
    <comment ref="F1180" authorId="0" shapeId="0" xr:uid="{00000000-0006-0000-0200-00003B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4 - DE COLUNA-DORSAL
</t>
        </r>
      </text>
    </comment>
    <comment ref="G1180" authorId="2" shapeId="0" xr:uid="{00000000-0006-0000-0200-00003C000000}">
      <text>
        <r>
          <rPr>
            <b/>
            <sz val="9"/>
            <color indexed="81"/>
            <rFont val="Segoe UI"/>
            <family val="2"/>
          </rPr>
          <t xml:space="preserve">Maria:
5 - </t>
        </r>
        <r>
          <rPr>
            <sz val="9"/>
            <color indexed="81"/>
            <rFont val="Segoe UI"/>
            <family val="2"/>
          </rPr>
          <t xml:space="preserve">Radiografia de articulação Escapulo-Umeral. 
1 - Radiografia Ossos da Face
</t>
        </r>
      </text>
    </comment>
    <comment ref="H1180" authorId="0" shapeId="0" xr:uid="{00000000-0006-0000-0200-00003D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5 - Raio x de Articulação coxo-femural
1 - Raio x de Articulação Escapulo-umeral</t>
        </r>
      </text>
    </comment>
    <comment ref="I1180" authorId="0" shapeId="0" xr:uid="{00000000-0006-0000-0200-00003E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RAIO X DE ART. ESCAPULO-UMERAL</t>
        </r>
      </text>
    </comment>
    <comment ref="J1180" authorId="1" shapeId="0" xr:uid="{00000000-0006-0000-0200-00003F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3- Raio-X Art. Escapulo-Umeral
1- Raio-X Coxa</t>
        </r>
      </text>
    </comment>
    <comment ref="K1180" authorId="1" shapeId="0" xr:uid="{00000000-0006-0000-0200-000040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Articulação coxo-femoral: 2
Articulação Escapulo-Umeral: 2
Radiografia Coxa: 2
Escapula ombro: 1</t>
        </r>
      </text>
    </comment>
    <comment ref="L1180" authorId="0" shapeId="0" xr:uid="{4632F587-D09F-478C-9C9F-46CE8DD82DA8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Articulação Escapulo-Umeral</t>
        </r>
      </text>
    </comment>
    <comment ref="C1238" authorId="0" shapeId="0" xr:uid="{00000000-0006-0000-0200-00004100000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RNM TÓRAX</t>
        </r>
      </text>
    </comment>
    <comment ref="K1260" authorId="1" shapeId="0" xr:uid="{00000000-0006-0000-0200-000042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Ressonancia de Torax:2 </t>
        </r>
      </text>
    </comment>
    <comment ref="B1527" authorId="0" shapeId="0" xr:uid="{00000000-0006-0000-0200-000043000000}">
      <text>
        <r>
          <rPr>
            <b/>
            <sz val="12"/>
            <color indexed="81"/>
            <rFont val="Arial"/>
            <family val="2"/>
          </rPr>
          <t>Rodrigo Moraes:</t>
        </r>
        <r>
          <rPr>
            <sz val="12"/>
            <color indexed="81"/>
            <rFont val="Arial"/>
            <family val="2"/>
          </rPr>
          <t xml:space="preserve">
</t>
        </r>
        <r>
          <rPr>
            <b/>
            <sz val="12"/>
            <color indexed="81"/>
            <rFont val="Arial"/>
            <family val="2"/>
          </rPr>
          <t>PULSOTERAPIA I</t>
        </r>
        <r>
          <rPr>
            <sz val="12"/>
            <color indexed="81"/>
            <rFont val="Arial"/>
            <family val="2"/>
          </rPr>
          <t xml:space="preserve"> - 9
</t>
        </r>
        <r>
          <rPr>
            <b/>
            <sz val="12"/>
            <color indexed="81"/>
            <rFont val="Arial"/>
            <family val="2"/>
          </rPr>
          <t>PULSOTERAPIA II</t>
        </r>
        <r>
          <rPr>
            <sz val="12"/>
            <color indexed="81"/>
            <rFont val="Arial"/>
            <family val="2"/>
          </rPr>
          <t xml:space="preserve"> - 17</t>
        </r>
      </text>
    </comment>
    <comment ref="C1527" authorId="0" shapeId="0" xr:uid="{00000000-0006-0000-0200-000044000000}">
      <text>
        <r>
          <rPr>
            <b/>
            <sz val="12"/>
            <color indexed="81"/>
            <rFont val="Arial"/>
            <family val="2"/>
          </rPr>
          <t>Rodrigo Moraes:</t>
        </r>
        <r>
          <rPr>
            <sz val="12"/>
            <color indexed="81"/>
            <rFont val="Arial"/>
            <family val="2"/>
          </rPr>
          <t xml:space="preserve">
</t>
        </r>
        <r>
          <rPr>
            <b/>
            <sz val="12"/>
            <color indexed="81"/>
            <rFont val="Arial"/>
            <family val="2"/>
          </rPr>
          <t>PULSOTERAPIA I</t>
        </r>
        <r>
          <rPr>
            <sz val="12"/>
            <color indexed="81"/>
            <rFont val="Arial"/>
            <family val="2"/>
          </rPr>
          <t xml:space="preserve"> - 11
</t>
        </r>
        <r>
          <rPr>
            <b/>
            <sz val="12"/>
            <color indexed="81"/>
            <rFont val="Arial"/>
            <family val="2"/>
          </rPr>
          <t>PULSOTERAPIA II</t>
        </r>
        <r>
          <rPr>
            <sz val="12"/>
            <color indexed="81"/>
            <rFont val="Arial"/>
            <family val="2"/>
          </rPr>
          <t xml:space="preserve"> - 9</t>
        </r>
      </text>
    </comment>
    <comment ref="D1527" authorId="0" shapeId="0" xr:uid="{00000000-0006-0000-0200-000045000000}">
      <text>
        <r>
          <rPr>
            <b/>
            <sz val="12"/>
            <color indexed="81"/>
            <rFont val="Arial"/>
            <family val="2"/>
          </rPr>
          <t>Rodrigo Moraes:</t>
        </r>
        <r>
          <rPr>
            <sz val="12"/>
            <color indexed="81"/>
            <rFont val="Arial"/>
            <family val="2"/>
          </rPr>
          <t xml:space="preserve">
</t>
        </r>
        <r>
          <rPr>
            <b/>
            <sz val="12"/>
            <color indexed="81"/>
            <rFont val="Arial"/>
            <family val="2"/>
          </rPr>
          <t>PULSOTERAPIA I</t>
        </r>
        <r>
          <rPr>
            <sz val="12"/>
            <color indexed="81"/>
            <rFont val="Arial"/>
            <family val="2"/>
          </rPr>
          <t xml:space="preserve"> - 7
</t>
        </r>
        <r>
          <rPr>
            <b/>
            <sz val="12"/>
            <color indexed="81"/>
            <rFont val="Arial"/>
            <family val="2"/>
          </rPr>
          <t>PULSOTERAPIA II</t>
        </r>
        <r>
          <rPr>
            <sz val="12"/>
            <color indexed="81"/>
            <rFont val="Arial"/>
            <family val="2"/>
          </rPr>
          <t xml:space="preserve"> - 10</t>
        </r>
      </text>
    </comment>
    <comment ref="E1527" authorId="0" shapeId="0" xr:uid="{00000000-0006-0000-0200-000046000000}">
      <text>
        <r>
          <rPr>
            <b/>
            <sz val="12"/>
            <color indexed="81"/>
            <rFont val="Arial"/>
            <family val="2"/>
          </rPr>
          <t>Rodrigo Moraes:</t>
        </r>
        <r>
          <rPr>
            <sz val="12"/>
            <color indexed="81"/>
            <rFont val="Arial"/>
            <family val="2"/>
          </rPr>
          <t xml:space="preserve">
</t>
        </r>
        <r>
          <rPr>
            <b/>
            <sz val="12"/>
            <color indexed="81"/>
            <rFont val="Arial"/>
            <family val="2"/>
          </rPr>
          <t>PULSOTERAPIA I</t>
        </r>
        <r>
          <rPr>
            <sz val="12"/>
            <color indexed="81"/>
            <rFont val="Arial"/>
            <family val="2"/>
          </rPr>
          <t xml:space="preserve"> - 0
</t>
        </r>
        <r>
          <rPr>
            <b/>
            <sz val="12"/>
            <color indexed="81"/>
            <rFont val="Arial"/>
            <family val="2"/>
          </rPr>
          <t>PULSOTERAPIA II</t>
        </r>
        <r>
          <rPr>
            <sz val="12"/>
            <color indexed="81"/>
            <rFont val="Arial"/>
            <family val="2"/>
          </rPr>
          <t xml:space="preserve"> - 8</t>
        </r>
      </text>
    </comment>
    <comment ref="F1527" authorId="0" shapeId="0" xr:uid="{00000000-0006-0000-0200-000047000000}">
      <text>
        <r>
          <rPr>
            <b/>
            <sz val="12"/>
            <color indexed="81"/>
            <rFont val="Arial"/>
            <family val="2"/>
          </rPr>
          <t>Rodrigo Moraes:</t>
        </r>
        <r>
          <rPr>
            <sz val="12"/>
            <color indexed="81"/>
            <rFont val="Arial"/>
            <family val="2"/>
          </rPr>
          <t xml:space="preserve">
</t>
        </r>
        <r>
          <rPr>
            <b/>
            <sz val="12"/>
            <color indexed="81"/>
            <rFont val="Arial"/>
            <family val="2"/>
          </rPr>
          <t>PULSOTERAPIA I</t>
        </r>
        <r>
          <rPr>
            <sz val="12"/>
            <color indexed="81"/>
            <rFont val="Arial"/>
            <family val="2"/>
          </rPr>
          <t xml:space="preserve"> - 6
</t>
        </r>
        <r>
          <rPr>
            <b/>
            <sz val="12"/>
            <color indexed="81"/>
            <rFont val="Arial"/>
            <family val="2"/>
          </rPr>
          <t>PULSOTERAPIA II</t>
        </r>
        <r>
          <rPr>
            <sz val="12"/>
            <color indexed="81"/>
            <rFont val="Arial"/>
            <family val="2"/>
          </rPr>
          <t xml:space="preserve"> - 11</t>
        </r>
      </text>
    </comment>
    <comment ref="G1527" authorId="2" shapeId="0" xr:uid="{00000000-0006-0000-0200-000048000000}">
      <text>
        <r>
          <rPr>
            <b/>
            <sz val="9"/>
            <color indexed="81"/>
            <rFont val="Segoe UI"/>
            <family val="2"/>
          </rPr>
          <t>INFO: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sz val="11"/>
            <color indexed="81"/>
            <rFont val="Segoe UI"/>
            <family val="2"/>
          </rPr>
          <t>Pulsoterapia I: 8
Pulsoterapia II: 11</t>
        </r>
      </text>
    </comment>
    <comment ref="H1527" authorId="2" shapeId="0" xr:uid="{00000000-0006-0000-0200-000049000000}">
      <text>
        <r>
          <rPr>
            <b/>
            <sz val="9"/>
            <color indexed="81"/>
            <rFont val="Segoe UI"/>
            <family val="2"/>
          </rPr>
          <t>INFO: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sz val="11"/>
            <color indexed="81"/>
            <rFont val="Segoe UI"/>
            <family val="2"/>
          </rPr>
          <t>Pulsoterapia I: 13
Pulsoterapia II: 14</t>
        </r>
      </text>
    </comment>
    <comment ref="I1527" authorId="2" shapeId="0" xr:uid="{00000000-0006-0000-0200-00004A000000}">
      <text>
        <r>
          <rPr>
            <b/>
            <sz val="9"/>
            <color indexed="81"/>
            <rFont val="Segoe UI"/>
            <family val="2"/>
          </rPr>
          <t>INFO: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sz val="11"/>
            <color indexed="81"/>
            <rFont val="Segoe UI"/>
            <family val="2"/>
          </rPr>
          <t>Pulsoterapia I: 04
Pulsoterapia II: 12</t>
        </r>
      </text>
    </comment>
    <comment ref="J1527" authorId="1" shapeId="0" xr:uid="{00000000-0006-0000-0200-00004B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Pulsoterapia I: 5
Pulsoterapia II: 19</t>
        </r>
      </text>
    </comment>
    <comment ref="K1527" authorId="1" shapeId="0" xr:uid="{00000000-0006-0000-0200-00004C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Pulsoterapia I: 12
Pulsoterapia II: 13</t>
        </r>
      </text>
    </comment>
    <comment ref="L1527" authorId="1" shapeId="0" xr:uid="{C55A7C3B-5815-4D31-BF71-62B6F4E26BB8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Pulsoterapia I: 22
Pulsoterapia II: 12</t>
        </r>
      </text>
    </comment>
    <comment ref="M1527" authorId="1" shapeId="0" xr:uid="{D5F61539-5ACF-4DC8-A508-8EA6B9EEE4EE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Pulsoterapia I: 22
Pulsoterapia II: 15</t>
        </r>
      </text>
    </comment>
    <comment ref="G1719" authorId="2" shapeId="0" xr:uid="{00000000-0006-0000-0200-00004D000000}">
      <text>
        <r>
          <rPr>
            <b/>
            <sz val="9"/>
            <color indexed="81"/>
            <rFont val="Segoe UI"/>
            <family val="2"/>
          </rPr>
          <t>INFO: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sz val="10"/>
            <color indexed="81"/>
            <rFont val="Segoe UI"/>
            <family val="2"/>
          </rPr>
          <t>10- Instalação Equip.
84- Outros</t>
        </r>
      </text>
    </comment>
    <comment ref="J1719" authorId="1" shapeId="0" xr:uid="{00000000-0006-0000-0200-00004E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Outros: 90
Vistoria Equip. : 4
Instalação Equip.: 1</t>
        </r>
      </text>
    </comment>
    <comment ref="G1773" authorId="2" shapeId="0" xr:uid="{00000000-0006-0000-0200-00004F000000}">
      <text>
        <r>
          <rPr>
            <b/>
            <sz val="9"/>
            <color indexed="81"/>
            <rFont val="Segoe UI"/>
            <family val="2"/>
          </rPr>
          <t>INFO:</t>
        </r>
        <r>
          <rPr>
            <sz val="9"/>
            <color indexed="81"/>
            <rFont val="Segoe UI"/>
            <family val="2"/>
          </rPr>
          <t xml:space="preserve">
03 - Sesmt
01 - Capela</t>
        </r>
      </text>
    </comment>
    <comment ref="H1773" authorId="2" shapeId="0" xr:uid="{00000000-0006-0000-0200-000050000000}">
      <text>
        <r>
          <rPr>
            <b/>
            <sz val="9"/>
            <color indexed="81"/>
            <rFont val="Segoe UI"/>
            <family val="2"/>
          </rPr>
          <t>INFO:</t>
        </r>
        <r>
          <rPr>
            <sz val="9"/>
            <color indexed="81"/>
            <rFont val="Segoe UI"/>
            <family val="2"/>
          </rPr>
          <t xml:space="preserve">
03 - Sesmt
01 - Capela</t>
        </r>
      </text>
    </comment>
    <comment ref="J1773" authorId="1" shapeId="0" xr:uid="{00000000-0006-0000-0200-000051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Sala de Prontuário: 2
Sesmt: 1</t>
        </r>
      </text>
    </comment>
    <comment ref="K1773" authorId="1" shapeId="0" xr:uid="{00000000-0006-0000-0200-000052000000}">
      <text>
        <r>
          <rPr>
            <b/>
            <sz val="9"/>
            <color indexed="81"/>
            <rFont val="Segoe UI"/>
            <family val="2"/>
          </rPr>
          <t>Maria Santos:</t>
        </r>
        <r>
          <rPr>
            <sz val="9"/>
            <color indexed="81"/>
            <rFont val="Segoe UI"/>
            <family val="2"/>
          </rPr>
          <t xml:space="preserve">
Capela: 1
Estatistica: 2</t>
        </r>
      </text>
    </comment>
    <comment ref="B1818" authorId="3" shapeId="0" xr:uid="{00000000-0006-0000-0200-000053000000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Agencia Transfusional
7 - Fisioterapia
3 - TecSaúde
2 - NIR/SIAH
2 - ROCHE
</t>
        </r>
      </text>
    </comment>
    <comment ref="C1818" authorId="3" shapeId="0" xr:uid="{00000000-0006-0000-0200-000054000000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Agencia Transfusional
7 - Fisioterapia
3 - TecSaúde
2 - NIR/SIAH
2 - ROCHE
</t>
        </r>
      </text>
    </comment>
    <comment ref="D1818" authorId="3" shapeId="0" xr:uid="{00000000-0006-0000-0200-000055000000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Agencia Transfusional
7 - Fisioterapia
3 - TecSaúde
2 - NIR/SIAH
2 - ROCHE
</t>
        </r>
      </text>
    </comment>
    <comment ref="E1818" authorId="3" shapeId="0" xr:uid="{00000000-0006-0000-0200-000056000000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Agencia Transfusional
7 - Fisioterapia
3 - TecSaúde
2 - NIR/SIAH
2 - ROCHE
</t>
        </r>
      </text>
    </comment>
    <comment ref="F1818" authorId="3" shapeId="0" xr:uid="{00000000-0006-0000-0200-000057000000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Agencia Transfusional
7 - Fisioterapia
3 - TecSaúde
2 - NIR/SIAH
2 - ROCHE
</t>
        </r>
      </text>
    </comment>
    <comment ref="G1818" authorId="3" shapeId="0" xr:uid="{00000000-0006-0000-0200-000058000000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Agencia Transfusional
7 - Fisioterapia
3 - TecSaúde
2 - NIR/SIAH
2 - ROCHE
</t>
        </r>
      </text>
    </comment>
    <comment ref="H1818" authorId="3" shapeId="0" xr:uid="{00000000-0006-0000-0200-000059000000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Agencia Transfusional
7 - Fisioterapia
3 - TecSaúde
2 - NIR/SIAH
2 - ROCHE
</t>
        </r>
      </text>
    </comment>
    <comment ref="I1818" authorId="3" shapeId="0" xr:uid="{00000000-0006-0000-0200-00005A000000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Agencia Transfusional
7 - Fisioterapia
3 - TecSaúde
2 - NIR/SIAH
2 - ROCHE
</t>
        </r>
      </text>
    </comment>
    <comment ref="J1818" authorId="3" shapeId="0" xr:uid="{00000000-0006-0000-0200-00005B000000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Agencia Transfusional
7 - Fisioterapia
3 - TecSaúde
2 - NIR/SIAH
2 - ROCHE
</t>
        </r>
      </text>
    </comment>
    <comment ref="K1818" authorId="3" shapeId="0" xr:uid="{00000000-0006-0000-0200-00005C000000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Agencia Transfusional
7 - Fisioterapia
3 - TecSaúde
2 - NIR/SIAH
2 - ROCHE
</t>
        </r>
      </text>
    </comment>
    <comment ref="L1818" authorId="3" shapeId="0" xr:uid="{6D5020AA-BE42-4DB1-B50B-C7803C5EA406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Agencia Transfusional
7 - Fisioterapia
3 - TecSaúde
2 - NIR/SIAH
2 - ROCHE
</t>
        </r>
      </text>
    </comment>
    <comment ref="M1818" authorId="3" shapeId="0" xr:uid="{18AF2C1F-579C-4AB6-B616-58287F224DC2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Agencia Transfusional
7 - Fisioterapia
3 - TecSaúde
2 - NIR/SIAH
2 - ROCHE
</t>
        </r>
      </text>
    </comment>
  </commentList>
</comments>
</file>

<file path=xl/sharedStrings.xml><?xml version="1.0" encoding="utf-8"?>
<sst xmlns="http://schemas.openxmlformats.org/spreadsheetml/2006/main" count="2356" uniqueCount="909">
  <si>
    <t>Média Geral de Permanência</t>
  </si>
  <si>
    <t>Taxa de Infecção Hospitalar</t>
  </si>
  <si>
    <t>PLANO ESTATÍSTICO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</si>
  <si>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</si>
  <si>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</si>
  <si>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</si>
  <si>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</si>
  <si>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</si>
  <si>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</si>
  <si>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</si>
  <si>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</si>
  <si>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</si>
  <si>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</si>
  <si>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</si>
  <si>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</si>
  <si>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ACUM</t>
  </si>
  <si>
    <t>MÉDIA</t>
  </si>
  <si>
    <t>1.1. Nº de Leitos por Unidade</t>
  </si>
  <si>
    <t>Clínica Cirúrgica</t>
  </si>
  <si>
    <t>Clínica Médica</t>
  </si>
  <si>
    <t>UTI Adulto</t>
  </si>
  <si>
    <t>Total</t>
  </si>
  <si>
    <t>Outros</t>
  </si>
  <si>
    <t>1.2. Nº de Leitos-Dia por Unidade</t>
  </si>
  <si>
    <t>1.3. Nº de Pacientes-Dia por Especialidade</t>
  </si>
  <si>
    <t>Cirurgia Geral</t>
  </si>
  <si>
    <t>Cirurgia Bariátrica</t>
  </si>
  <si>
    <t>Cirurgia Plástica</t>
  </si>
  <si>
    <t>Coloproctologia</t>
  </si>
  <si>
    <t>Cardiologia</t>
  </si>
  <si>
    <t>Endoscopia</t>
  </si>
  <si>
    <t>Endocrinologia</t>
  </si>
  <si>
    <t>Medicina Intensiva</t>
  </si>
  <si>
    <t>Plantonista / Clínica Médica</t>
  </si>
  <si>
    <t>Pneumologia</t>
  </si>
  <si>
    <t>Reumatologia</t>
  </si>
  <si>
    <t>1.4. Nº de Pacientes-Dia por Unidade</t>
  </si>
  <si>
    <t>1.5. Média Diária de Pacientes por Unidade</t>
  </si>
  <si>
    <t>Unidade/ Mês</t>
  </si>
  <si>
    <t>Porcentagem Geral de Ocupação (PGO)</t>
  </si>
  <si>
    <t>Paciente – dia</t>
  </si>
  <si>
    <t>Clínica cirúrgica</t>
  </si>
  <si>
    <t>1.6. Internações por Especialidade</t>
  </si>
  <si>
    <t>UTI</t>
  </si>
  <si>
    <t>-</t>
  </si>
  <si>
    <t>1.7. Internações por Unidade</t>
  </si>
  <si>
    <t>Leito – dia</t>
  </si>
  <si>
    <t>Geral</t>
  </si>
  <si>
    <t>1.8. Internações por Município</t>
  </si>
  <si>
    <t>Abaetetuba</t>
  </si>
  <si>
    <t>Ananindeua</t>
  </si>
  <si>
    <t>Belém</t>
  </si>
  <si>
    <t>Benevides</t>
  </si>
  <si>
    <t>Bragança</t>
  </si>
  <si>
    <t>Castanhal</t>
  </si>
  <si>
    <t>Igarapé – Açu</t>
  </si>
  <si>
    <t>Mãe do Rio</t>
  </si>
  <si>
    <t>Marituba</t>
  </si>
  <si>
    <t>Paragominas</t>
  </si>
  <si>
    <t>Santa Isabel do Pará</t>
  </si>
  <si>
    <t>São Miguel do Guamá</t>
  </si>
  <si>
    <t>1.9 Internações por Faixa etária</t>
  </si>
  <si>
    <t>De 14 a 24 anos</t>
  </si>
  <si>
    <t>De 25 a 35 anos</t>
  </si>
  <si>
    <t>De 36 a 46 anos</t>
  </si>
  <si>
    <t>De 47 a 57 anos</t>
  </si>
  <si>
    <t>De 58 a 68 anos</t>
  </si>
  <si>
    <t>De 69 a 79 anos</t>
  </si>
  <si>
    <t>De 80 a 110 anos</t>
  </si>
  <si>
    <t>1.10. Altas Melhoradas Por Especialidade</t>
  </si>
  <si>
    <t xml:space="preserve">                                                           </t>
  </si>
  <si>
    <t>1.12. Óbitos por Especialidade</t>
  </si>
  <si>
    <t>1.13. Óbitos por Unidade</t>
  </si>
  <si>
    <t>1.16. Óbitos por Faixa Etária</t>
  </si>
  <si>
    <t>1.19. Pacientes Saídos p/ Especialidade</t>
  </si>
  <si>
    <t>1.20. Pacientes Saídos por Unidade</t>
  </si>
  <si>
    <t>1.21. Porcentagem de Ocupação por Unidade</t>
  </si>
  <si>
    <t>Porcentagem Geral de Ocupação</t>
  </si>
  <si>
    <t>1.22. Média de Permanência por Unidade</t>
  </si>
  <si>
    <t>1.23. Índice de Giro de Leitos p/ Unidade</t>
  </si>
  <si>
    <t>Índice Geral de Giro de Leitos</t>
  </si>
  <si>
    <t>1.24. Taxa de Mortalidade por Unidade</t>
  </si>
  <si>
    <t>Taxa de Mortalidade Global</t>
  </si>
  <si>
    <t>1.25. Taxa de Mortalidade por Tipo</t>
  </si>
  <si>
    <t>Institucional</t>
  </si>
  <si>
    <t>Não Institucional</t>
  </si>
  <si>
    <t>Operatória</t>
  </si>
  <si>
    <t>2. Serviços Assistenciais</t>
  </si>
  <si>
    <t>2.1. Centro Cirúrgico</t>
  </si>
  <si>
    <t>2.1.1. Cirurgias por Porte</t>
  </si>
  <si>
    <t>Cirurgias Pequenas</t>
  </si>
  <si>
    <t>Cirurgias Médias</t>
  </si>
  <si>
    <t>Cirurgias Grandes</t>
  </si>
  <si>
    <t>Número de Óbitos Operatórios</t>
  </si>
  <si>
    <t>Média Diária de Cirurgias</t>
  </si>
  <si>
    <t>Procedimentos</t>
  </si>
  <si>
    <t>Nº de Salas Cirúrgicas</t>
  </si>
  <si>
    <t>Média Diária de Cirurgias por Sala</t>
  </si>
  <si>
    <t>2.1.2. Cirurgias de Pacientes por Tipo</t>
  </si>
  <si>
    <t>Cirurgias Eletivas</t>
  </si>
  <si>
    <t>Cirurgia do Cólon</t>
  </si>
  <si>
    <t>Cirurgia Vascular</t>
  </si>
  <si>
    <t>Plástica Reparadora</t>
  </si>
  <si>
    <t>2.2. Anestesia</t>
  </si>
  <si>
    <t>2.2.1. Número de Anestesias por Tipo</t>
  </si>
  <si>
    <t>Analgesia</t>
  </si>
  <si>
    <t>Local</t>
  </si>
  <si>
    <t>Peridural</t>
  </si>
  <si>
    <t>Raquidiana</t>
  </si>
  <si>
    <t>Bloqueio</t>
  </si>
  <si>
    <t>Sedação</t>
  </si>
  <si>
    <t>Outras</t>
  </si>
  <si>
    <t>Média Diária</t>
  </si>
  <si>
    <t>2.2.2. Anestesias por Unidade</t>
  </si>
  <si>
    <t>Ambulatório</t>
  </si>
  <si>
    <t>Pacotes/Caixas preparados</t>
  </si>
  <si>
    <t>Processamentos da Autoclave</t>
  </si>
  <si>
    <t>Processamentos da Sterrad</t>
  </si>
  <si>
    <t>Processamentos Lavadora de Endoscópio</t>
  </si>
  <si>
    <t>Centro Cirúrgico</t>
  </si>
  <si>
    <t>Consultas Simples</t>
  </si>
  <si>
    <t>Média Diária de Consultas</t>
  </si>
  <si>
    <t>Assistência Social</t>
  </si>
  <si>
    <t>Anestesiologia</t>
  </si>
  <si>
    <t>Dermatologia</t>
  </si>
  <si>
    <t>Geriatria</t>
  </si>
  <si>
    <t>Nutrição</t>
  </si>
  <si>
    <t>Psicologia</t>
  </si>
  <si>
    <t>Curativos</t>
  </si>
  <si>
    <t>Visitas Sociais ao Leito</t>
  </si>
  <si>
    <t>Nº de Pesquisas de Usuários Internados</t>
  </si>
  <si>
    <t>Nº de Pesquisas Aplicadas Externo</t>
  </si>
  <si>
    <t>Outros (Missas, Cultos...)</t>
  </si>
  <si>
    <t>Atendimentos Diário Usuário</t>
  </si>
  <si>
    <t>Atendimentos de Óbitos</t>
  </si>
  <si>
    <t>Entrega de Tickets Refeição para Acompanhantes</t>
  </si>
  <si>
    <t>Atendimento nas Unidades</t>
  </si>
  <si>
    <t>Acompanhamentos de Óbitos</t>
  </si>
  <si>
    <t>Atendimento/Triagem Colaborador e Familiar</t>
  </si>
  <si>
    <t>Cursos Ministrados</t>
  </si>
  <si>
    <t>Nº de Participantes</t>
  </si>
  <si>
    <t>Carga Horária</t>
  </si>
  <si>
    <t>Treinamentos</t>
  </si>
  <si>
    <t>Cursos Externos</t>
  </si>
  <si>
    <t>Anatomia Patológica</t>
  </si>
  <si>
    <t>Bioquímica</t>
  </si>
  <si>
    <t>Gasometria</t>
  </si>
  <si>
    <t>Hematologia</t>
  </si>
  <si>
    <t>Hemostasia</t>
  </si>
  <si>
    <t>Hormônios</t>
  </si>
  <si>
    <t>Imunologia</t>
  </si>
  <si>
    <t>Parasitologia</t>
  </si>
  <si>
    <t>Urina</t>
  </si>
  <si>
    <t>Total Exames Internos</t>
  </si>
  <si>
    <t>Total Exames Externos</t>
  </si>
  <si>
    <t>Total Exames Realizados</t>
  </si>
  <si>
    <t>Nº Transfusões Realizadas</t>
  </si>
  <si>
    <t>Coluna Cervical</t>
  </si>
  <si>
    <t>Cotovelo</t>
  </si>
  <si>
    <t>Crânio</t>
  </si>
  <si>
    <t>Joelho</t>
  </si>
  <si>
    <t>Ombro</t>
  </si>
  <si>
    <t>Punho</t>
  </si>
  <si>
    <t>Quadril/Bacia</t>
  </si>
  <si>
    <t>Tórax</t>
  </si>
  <si>
    <t>Tornozelo/Pé</t>
  </si>
  <si>
    <t>Ambulatório de Referência</t>
  </si>
  <si>
    <t>8 x 10</t>
  </si>
  <si>
    <t>10 x 12</t>
  </si>
  <si>
    <t>% sobre filmes gastos</t>
  </si>
  <si>
    <t>Total de Sessões Pacientes Internos</t>
  </si>
  <si>
    <t>Total de Sessões Pacientes Externos</t>
  </si>
  <si>
    <t>Total de Sessões Realizadas</t>
  </si>
  <si>
    <t>Abdômen Superior</t>
  </si>
  <si>
    <t>Face</t>
  </si>
  <si>
    <t>Quadril</t>
  </si>
  <si>
    <t>Tireóide</t>
  </si>
  <si>
    <t>Vias Urinárias/Renal</t>
  </si>
  <si>
    <t>Biopsia</t>
  </si>
  <si>
    <t>Dilatação de Esôfago</t>
  </si>
  <si>
    <t>Esclerose</t>
  </si>
  <si>
    <t>Retirada de Corpo Estranho</t>
  </si>
  <si>
    <t>Colonoscopia</t>
  </si>
  <si>
    <t>Ligadura Hemorrágica</t>
  </si>
  <si>
    <t>Retossigmoidoscopia</t>
  </si>
  <si>
    <t>Colonoscopia Total Exames Internos</t>
  </si>
  <si>
    <t>Colonoscopia Total Exames Externos</t>
  </si>
  <si>
    <t>Total Geral Exames Internos</t>
  </si>
  <si>
    <t>Total Geral Exames Externos</t>
  </si>
  <si>
    <t>TOTAL</t>
  </si>
  <si>
    <t>Laboratório</t>
  </si>
  <si>
    <t>Mamografia</t>
  </si>
  <si>
    <t>Raio-x</t>
  </si>
  <si>
    <t>Tomografia</t>
  </si>
  <si>
    <t>Ultrassonografia</t>
  </si>
  <si>
    <t>Eletrocardiograma</t>
  </si>
  <si>
    <t>Hemoterapia</t>
  </si>
  <si>
    <t>4. Serviços de Apoio</t>
  </si>
  <si>
    <t>4.1. Nutrição e Dietética</t>
  </si>
  <si>
    <t>4.1.1. Refeições Servidas por Tipo</t>
  </si>
  <si>
    <t>Desjejum</t>
  </si>
  <si>
    <t>Colação</t>
  </si>
  <si>
    <t>Almoço</t>
  </si>
  <si>
    <t>Lanche</t>
  </si>
  <si>
    <t>Jantar</t>
  </si>
  <si>
    <t>Ceia</t>
  </si>
  <si>
    <t>Dieta Enteral</t>
  </si>
  <si>
    <t>Suplementação V.O.</t>
  </si>
  <si>
    <t>Outros - U/E</t>
  </si>
  <si>
    <t>4.1.2. Refeições Servidas p/ Comensal</t>
  </si>
  <si>
    <t>Acompanhantes</t>
  </si>
  <si>
    <t>4.2. Processamento da Roupa</t>
  </si>
  <si>
    <t>4.2.1. Kg Roupas Lavada p/Unidade</t>
  </si>
  <si>
    <t>Centro Cirúrgico/Obstetrico</t>
  </si>
  <si>
    <t>CME</t>
  </si>
  <si>
    <t>Serviço de Higiene e Limpeza</t>
  </si>
  <si>
    <t>Retorno/Outros</t>
  </si>
  <si>
    <t>Kg Roupas lavadas</t>
  </si>
  <si>
    <t>Média Diária Kg Roupas Lavadas</t>
  </si>
  <si>
    <t>Abast. Gás(GLP) e Gases Medicinais</t>
  </si>
  <si>
    <t>Alvenaria</t>
  </si>
  <si>
    <t>Carpintaria</t>
  </si>
  <si>
    <t>Elétrica</t>
  </si>
  <si>
    <t>Eletrônica</t>
  </si>
  <si>
    <t>Hidráulica</t>
  </si>
  <si>
    <t>Marcenaria</t>
  </si>
  <si>
    <t>Mecânica</t>
  </si>
  <si>
    <t>Manutenção</t>
  </si>
  <si>
    <t>Pintura</t>
  </si>
  <si>
    <t>Refrigeração</t>
  </si>
  <si>
    <t>Telefonia</t>
  </si>
  <si>
    <t>Administração</t>
  </si>
  <si>
    <t>Agência Transfusional</t>
  </si>
  <si>
    <t>Almoxarifado</t>
  </si>
  <si>
    <t>Central de Regulação</t>
  </si>
  <si>
    <t>Central Telefônica</t>
  </si>
  <si>
    <t>Compras</t>
  </si>
  <si>
    <t>CME - Central de Materiais Esterilizados</t>
  </si>
  <si>
    <t>Departamento de Pessoal</t>
  </si>
  <si>
    <t>Enfermagem</t>
  </si>
  <si>
    <t>Farmácia</t>
  </si>
  <si>
    <t>Financeiro</t>
  </si>
  <si>
    <t>Higienização</t>
  </si>
  <si>
    <t>Patrimônio</t>
  </si>
  <si>
    <t>Portaria</t>
  </si>
  <si>
    <t>Recepção</t>
  </si>
  <si>
    <t>SND - Serviço de Nutrição e Dietética</t>
  </si>
  <si>
    <t>Tecnologia da Informação</t>
  </si>
  <si>
    <t>S.A.U</t>
  </si>
  <si>
    <t>Faturamento</t>
  </si>
  <si>
    <t>Fisioterapia</t>
  </si>
  <si>
    <t>Recepção Central</t>
  </si>
  <si>
    <t>Diretoria</t>
  </si>
  <si>
    <t>Serviço Social</t>
  </si>
  <si>
    <t>5. Serviços Administrativos</t>
  </si>
  <si>
    <t>Enfermeiros</t>
  </si>
  <si>
    <t>Sub-Total 1</t>
  </si>
  <si>
    <t>Terceirizados</t>
  </si>
  <si>
    <t>Sub-Total 2</t>
  </si>
  <si>
    <t>Total Geral</t>
  </si>
  <si>
    <t>Pós-Graduação</t>
  </si>
  <si>
    <t>Superior</t>
  </si>
  <si>
    <t>Superior Incompleto</t>
  </si>
  <si>
    <t>Ensino Médio</t>
  </si>
  <si>
    <t>Ensino Médio Incompleto</t>
  </si>
  <si>
    <t>Ensino Fundamental</t>
  </si>
  <si>
    <t>Ensino Fundamental Incompleto</t>
  </si>
  <si>
    <t>Sem Instrução</t>
  </si>
  <si>
    <t>5.1.3. Corpo Clínico</t>
  </si>
  <si>
    <t>Médicos Pessoa Jurídica</t>
  </si>
  <si>
    <t>5.1.4. Índices do Depto. Pessoal</t>
  </si>
  <si>
    <t>Funcionários em Férias</t>
  </si>
  <si>
    <t>Funcionários de Licenças/Afastamentos</t>
  </si>
  <si>
    <t>Admissões</t>
  </si>
  <si>
    <t>Demissões</t>
  </si>
  <si>
    <t>Afastamentos</t>
  </si>
  <si>
    <t>Nº de Funcionários/mês</t>
  </si>
  <si>
    <t>Faltas em dias</t>
  </si>
  <si>
    <t>Índice de Absenteísmo</t>
  </si>
  <si>
    <t>Horas Extras</t>
  </si>
  <si>
    <t>Atrasos em Horas</t>
  </si>
  <si>
    <t>Índice de Funcionários por Leito</t>
  </si>
  <si>
    <t>Índice de Funcionários por Leito Ocupado</t>
  </si>
  <si>
    <t>Índice de Rotatividade</t>
  </si>
  <si>
    <t>% do Pessoal de Enfermagem</t>
  </si>
  <si>
    <t>% do Pessoal S.Apoio</t>
  </si>
  <si>
    <t>Total Pessoal de Serviços Terceirizados</t>
  </si>
  <si>
    <t>Outros não Empregados</t>
  </si>
  <si>
    <t>6. Resumo Geral de Informações</t>
  </si>
  <si>
    <t>Total de Pacientes-Dia</t>
  </si>
  <si>
    <t>Média Geral de Pacientes-Dia</t>
  </si>
  <si>
    <t>Taxa Mortalidade Global</t>
  </si>
  <si>
    <t>Taxa de Mortalidade Operatória</t>
  </si>
  <si>
    <t>Média Diária Geral de Cirurgias Internas</t>
  </si>
  <si>
    <t>Média Diária de Atendimento Ambulatorial Consultas</t>
  </si>
  <si>
    <t>Média Diária Refeições Servidas</t>
  </si>
  <si>
    <t>Média Diária de Kg Roupa Lavada</t>
  </si>
  <si>
    <t>Nº de Dias do Mês</t>
  </si>
  <si>
    <t>Mão</t>
  </si>
  <si>
    <t>Pescoço</t>
  </si>
  <si>
    <t>Rouparia</t>
  </si>
  <si>
    <t>Hemodiálise (Sessões)</t>
  </si>
  <si>
    <t>PAAF (Biópsia para tireóide)</t>
  </si>
  <si>
    <t>Densitometria óssea</t>
  </si>
  <si>
    <t>Ressonância Magnética</t>
  </si>
  <si>
    <t>Barcarena</t>
  </si>
  <si>
    <t>Cametá</t>
  </si>
  <si>
    <t>Moju</t>
  </si>
  <si>
    <t>Tailândia</t>
  </si>
  <si>
    <t>MAPA</t>
  </si>
  <si>
    <t>Broncoscopia</t>
  </si>
  <si>
    <t>20 x 25</t>
  </si>
  <si>
    <t>25 x 30</t>
  </si>
  <si>
    <t>Capitão Poço</t>
  </si>
  <si>
    <t>Irituia</t>
  </si>
  <si>
    <t>Ecocardiograma</t>
  </si>
  <si>
    <t>Espirometria</t>
  </si>
  <si>
    <t>Holter de Glicemia</t>
  </si>
  <si>
    <t>Pulsoterapia</t>
  </si>
  <si>
    <t>Dom Eliseu</t>
  </si>
  <si>
    <t>Primavera</t>
  </si>
  <si>
    <t>Cirurgia de Cabeça e Pescoço</t>
  </si>
  <si>
    <t>Cirurgia Dermatológica</t>
  </si>
  <si>
    <t>Cirurgia de Hérnia</t>
  </si>
  <si>
    <t>15 x 30</t>
  </si>
  <si>
    <t>Cachoeira do Arari</t>
  </si>
  <si>
    <t>Marapanim</t>
  </si>
  <si>
    <t>Santo Antonio do Tauá</t>
  </si>
  <si>
    <t>De 01 a 13 anos</t>
  </si>
  <si>
    <t>Treinamento Hora/Homem</t>
  </si>
  <si>
    <t>Líquor/Líquidos Cautários</t>
  </si>
  <si>
    <t>Dieta Parenteral</t>
  </si>
  <si>
    <t>Atendimento Ambulatorial</t>
  </si>
  <si>
    <t>Microbiologia/Micologia</t>
  </si>
  <si>
    <t>Teste Ergometria</t>
  </si>
  <si>
    <t>Área Comum</t>
  </si>
  <si>
    <t>NIR - Núcleo Interno de Regulação</t>
  </si>
  <si>
    <t>Gerência de Enfermagem</t>
  </si>
  <si>
    <t>RH - Recursos Humanos</t>
  </si>
  <si>
    <t>SADT - Serviço de Apoio ao Diagnóticos e Tratamento</t>
  </si>
  <si>
    <t>Fígado e Vias Biliares</t>
  </si>
  <si>
    <t>3.2.1. Exames por  Unidade - Paciente Interno</t>
  </si>
  <si>
    <t>3.1.2. Exames por Unidade - Paciente Externo</t>
  </si>
  <si>
    <t>Ultrassonografia com Doppler</t>
  </si>
  <si>
    <t>SCIH - Serviço de Controle de Infecção Hospitalar</t>
  </si>
  <si>
    <t>S.A.U - Serviço de Atenção ao Usuário</t>
  </si>
  <si>
    <t>Oftalmologia</t>
  </si>
  <si>
    <t>3.1.1. Exames por  Unidade - Paciente Interno</t>
  </si>
  <si>
    <t>3.2.2. Exames por Unidade - Paciente Externo</t>
  </si>
  <si>
    <t>3.3.1. Exames por  Unidade - Paciente Interno</t>
  </si>
  <si>
    <t>3.3.2. Exames por Unidade - Paciente Externo</t>
  </si>
  <si>
    <t>3.4.1. Exames por  Unidade - Paciente Interno</t>
  </si>
  <si>
    <t>3.4.2. Exames por Unidade - Paciente Externo</t>
  </si>
  <si>
    <t>3.5.1. Exames por  Unidade - Paciente Interno</t>
  </si>
  <si>
    <t>3.5.2. Exames por Unidade - Paciente Externo</t>
  </si>
  <si>
    <t>3.14.1. Exames por  Unidade - Paciente Interno</t>
  </si>
  <si>
    <t>3.14.2. Exames por Unidade - Paciente Externo</t>
  </si>
  <si>
    <t>3.16.2. Exames por Unidade - Paciente Externo</t>
  </si>
  <si>
    <t>3.16.1. Exames por  Unidade - Paciente Interno</t>
  </si>
  <si>
    <t>Fisioterapia (Sessões)</t>
  </si>
  <si>
    <t>Fonoaudiologia (Sessões)</t>
  </si>
  <si>
    <t>NEP - Núcleo de Educação Permanente</t>
  </si>
  <si>
    <t>SND - Serviço de Nutrição e Dietético</t>
  </si>
  <si>
    <t>S.A.U - Serviço de Atendimento ao Usuário</t>
  </si>
  <si>
    <t>SPR - Serv. Processam. Roupa</t>
  </si>
  <si>
    <t>SHL - Serviço de Higienização e Limpeza</t>
  </si>
  <si>
    <t>Contabilidade</t>
  </si>
  <si>
    <t>Departamento Pessoal</t>
  </si>
  <si>
    <t>NQSP - Núcleo da Qualidade e Segurança do Paciente</t>
  </si>
  <si>
    <t>RH - Recurso Humano</t>
  </si>
  <si>
    <t>TI - Tecnologia da Informação</t>
  </si>
  <si>
    <t>Controladoria</t>
  </si>
  <si>
    <t>Radiologia</t>
  </si>
  <si>
    <t>SESMT - Serviços Especializados e Engenharia de Segurança e Medina do Trabalho</t>
  </si>
  <si>
    <t>1. Estatística de Pacientes Internados</t>
  </si>
  <si>
    <t>Cirurgias Diversas</t>
  </si>
  <si>
    <t>2.3. Centro Cirúrgico - Procedimento Endoscópico</t>
  </si>
  <si>
    <t>2.3.1. Procedimento Endoscópico por Porte</t>
  </si>
  <si>
    <t>Porte Pequeno</t>
  </si>
  <si>
    <t>Porte Médio</t>
  </si>
  <si>
    <t>Porte Grande</t>
  </si>
  <si>
    <t>Número de Óbitos durante o Procedimento</t>
  </si>
  <si>
    <t>Média Diária de Procedimento</t>
  </si>
  <si>
    <t>2.3.3 Procedimento por Tipo</t>
  </si>
  <si>
    <t>Balão Intragastrico</t>
  </si>
  <si>
    <t>CPRE - Colangiopancreatografia Retrógrada Endoscópica</t>
  </si>
  <si>
    <t>2.4. Anestesia</t>
  </si>
  <si>
    <t>2.4.1. Número de Anestesias por Tipo</t>
  </si>
  <si>
    <t>2.4.2. Anestesias por Unidade</t>
  </si>
  <si>
    <t>Nefrologia</t>
  </si>
  <si>
    <t>Psiquiatria</t>
  </si>
  <si>
    <t>3.17.1. Exames por  Unidade - Paciente Interno</t>
  </si>
  <si>
    <t>3.17.2. Exames por Unidade - Paciente Externo</t>
  </si>
  <si>
    <t>Laboratório de Análises Clinicas</t>
  </si>
  <si>
    <t>Ulionópolis</t>
  </si>
  <si>
    <t>Fígados e Vias Biliares</t>
  </si>
  <si>
    <t>2.3.2. Procedimento de Pacientes por Tipo</t>
  </si>
  <si>
    <t>2.5. Central de Material Esterilizado</t>
  </si>
  <si>
    <t>2.5.1. Produção</t>
  </si>
  <si>
    <t>2.5.2. Pacotes Distribuídos por Setor</t>
  </si>
  <si>
    <t>2.6. Ambulatório de Referência e Pronto Atendimento</t>
  </si>
  <si>
    <t>2.6.1. Consultas - Ambulatório</t>
  </si>
  <si>
    <t>2.6.2. Atendimento por Especialidades – Ambulatório - Consultas Médicas</t>
  </si>
  <si>
    <t>Gerador</t>
  </si>
  <si>
    <t>Engenharia Clínica</t>
  </si>
  <si>
    <t>Polissonografia</t>
  </si>
  <si>
    <t>Escleroterapia Ecoviada com Espuma</t>
  </si>
  <si>
    <t>Medicina Nuclear - Cintilografia</t>
  </si>
  <si>
    <t>HOSPITAL JEAN BITAR – HJB</t>
  </si>
  <si>
    <t>Endoscopia Digestiva Alta</t>
  </si>
  <si>
    <t>Abdominal Total</t>
  </si>
  <si>
    <t>Coluna Torácica</t>
  </si>
  <si>
    <t>3. Serviço de Apoio Diagnóstico Terapêutico</t>
  </si>
  <si>
    <t>Cirurgias Urgentes</t>
  </si>
  <si>
    <t>Uréase</t>
  </si>
  <si>
    <t>Abdômen</t>
  </si>
  <si>
    <t>Medicina Nuclear - Iodoterapia</t>
  </si>
  <si>
    <t>Telefonista</t>
  </si>
  <si>
    <t>Auxiliares Administrativos</t>
  </si>
  <si>
    <t>Aprendizes</t>
  </si>
  <si>
    <t>Assistente da Diretoria</t>
  </si>
  <si>
    <t>CME - Centro de Material e Esterialização</t>
  </si>
  <si>
    <t>Técnico de Enfermagem</t>
  </si>
  <si>
    <t>% do Pessoal de Serv. Adm</t>
  </si>
  <si>
    <t>ANO:</t>
  </si>
  <si>
    <t>GESTORES:</t>
  </si>
  <si>
    <t>RODRIGO FRÖHLICH</t>
  </si>
  <si>
    <t>DENISE VILLACORTA</t>
  </si>
  <si>
    <t>CAROLINA KAHWAGE</t>
  </si>
  <si>
    <t>SUMÁRIO</t>
  </si>
  <si>
    <t>1.</t>
  </si>
  <si>
    <t>Estatística de Pacientes Internados</t>
  </si>
  <si>
    <t>2.6.3. Atendimento por Especialidades – Ambulatório - Consultas Não Médicas</t>
  </si>
  <si>
    <t>2.6.4. Procedimentos Realizados no ambulatório</t>
  </si>
  <si>
    <t>2.7. Atividades Sociais</t>
  </si>
  <si>
    <t>2.7.1. S.A.U - Serviço de Atenção ao Usuário</t>
  </si>
  <si>
    <t>1.1.</t>
  </si>
  <si>
    <t>1.2.</t>
  </si>
  <si>
    <t>1.3.</t>
  </si>
  <si>
    <t>1.4.</t>
  </si>
  <si>
    <t>1.5.</t>
  </si>
  <si>
    <t>1.6.</t>
  </si>
  <si>
    <t>1.7.</t>
  </si>
  <si>
    <t>1.8.</t>
  </si>
  <si>
    <t>1.10.</t>
  </si>
  <si>
    <t>1.11.</t>
  </si>
  <si>
    <t>1.12.</t>
  </si>
  <si>
    <t>1.13.</t>
  </si>
  <si>
    <t>1.14.</t>
  </si>
  <si>
    <t>1.15.</t>
  </si>
  <si>
    <t>1.16.</t>
  </si>
  <si>
    <t>1.17.</t>
  </si>
  <si>
    <t>1.18.</t>
  </si>
  <si>
    <t>1.19.</t>
  </si>
  <si>
    <t>1.20.</t>
  </si>
  <si>
    <t>1.21.</t>
  </si>
  <si>
    <t>1.22.</t>
  </si>
  <si>
    <t>1.23.</t>
  </si>
  <si>
    <t>1.24.</t>
  </si>
  <si>
    <t>1.25.</t>
  </si>
  <si>
    <t>Taxa de Mortalidade por Tipo</t>
  </si>
  <si>
    <t>Taxa de Mortalidade por Unidade</t>
  </si>
  <si>
    <t>Índice de Giro de Leitos p/ Unidade</t>
  </si>
  <si>
    <t>Média de Permanência por Unidade</t>
  </si>
  <si>
    <t>Porcentagem de Ocupação por Unidade</t>
  </si>
  <si>
    <t>Pacientes Saídos por Unidade</t>
  </si>
  <si>
    <t>Pacientes Saídos p/ Especialidade</t>
  </si>
  <si>
    <t>Transferência Interna por Unidade (Saída)</t>
  </si>
  <si>
    <t>Transferência Interna por Unidade (Entrada)</t>
  </si>
  <si>
    <t>Óbitos por Faixa Etária</t>
  </si>
  <si>
    <t>Óbitos Institucionais p/ Especialidade  (+48h)</t>
  </si>
  <si>
    <t>Óbitos Não Institucionais p/ Especialidade (-48h)</t>
  </si>
  <si>
    <t>Óbitos por Unidade</t>
  </si>
  <si>
    <t>Óbitos por Especialidade</t>
  </si>
  <si>
    <t>Altas por Unidade (sem transferências)</t>
  </si>
  <si>
    <t>Altas Melhoradas Por Especialidade</t>
  </si>
  <si>
    <t xml:space="preserve"> Internações por Faixa etária</t>
  </si>
  <si>
    <t>Internações por Município</t>
  </si>
  <si>
    <t>Internações por Unidade</t>
  </si>
  <si>
    <t>Internações por Especialidade</t>
  </si>
  <si>
    <t>Média Diária de Pacientes por Unidade</t>
  </si>
  <si>
    <t>Nº de Pacientes-Dia por Unidade</t>
  </si>
  <si>
    <t>Nº de Pacientes-Dia por Especialidade</t>
  </si>
  <si>
    <t>Nº de Leitos-Dia por Unidade</t>
  </si>
  <si>
    <t>Nº de Leitos por Unidade</t>
  </si>
  <si>
    <t>1.9.</t>
  </si>
  <si>
    <t>2.</t>
  </si>
  <si>
    <t>2.1.</t>
  </si>
  <si>
    <t>2.2.</t>
  </si>
  <si>
    <t>2.3.</t>
  </si>
  <si>
    <t>2.4.</t>
  </si>
  <si>
    <t>2.5.</t>
  </si>
  <si>
    <t>2.6.</t>
  </si>
  <si>
    <t>2.6.2.</t>
  </si>
  <si>
    <t>2.6.3.</t>
  </si>
  <si>
    <t>2.6.4.</t>
  </si>
  <si>
    <t>2.7.</t>
  </si>
  <si>
    <t>2.7.1.</t>
  </si>
  <si>
    <t>2.7.2.</t>
  </si>
  <si>
    <t>2.7.3.</t>
  </si>
  <si>
    <t>2.7.4.</t>
  </si>
  <si>
    <t>Serviços Assistenciais</t>
  </si>
  <si>
    <t>Anestesia</t>
  </si>
  <si>
    <t>Centro Cirúrgico - Procedimento Endoscópico</t>
  </si>
  <si>
    <t>Central de Material Esterilizado</t>
  </si>
  <si>
    <t>Ambulatório de Referência e Pronto Atendimento</t>
  </si>
  <si>
    <t>Atendimento por Especialidades – Ambulatório - Consultas Médicas</t>
  </si>
  <si>
    <t>Atendimento por Especialidades – Ambulatório - Consultas Não Médicas</t>
  </si>
  <si>
    <t>Procedimentos Realizados no ambulatório</t>
  </si>
  <si>
    <t>Atividades Sociais</t>
  </si>
  <si>
    <t>Serviço Nutricional</t>
  </si>
  <si>
    <t>Serviço Psicologia</t>
  </si>
  <si>
    <t>Educação Permanente</t>
  </si>
  <si>
    <t>PLANO ESTATÍSTICO - HOSPITAL JEAN BITAR - INDSH - SESPA</t>
  </si>
  <si>
    <t>3.</t>
  </si>
  <si>
    <t>3.1.</t>
  </si>
  <si>
    <t>3.2.</t>
  </si>
  <si>
    <t>3.3.</t>
  </si>
  <si>
    <t>3.4.</t>
  </si>
  <si>
    <t>3.5.</t>
  </si>
  <si>
    <t>3.6.</t>
  </si>
  <si>
    <t>3.7.</t>
  </si>
  <si>
    <t>3.8.</t>
  </si>
  <si>
    <t>3.9.</t>
  </si>
  <si>
    <t>3.10.</t>
  </si>
  <si>
    <t>3.11.</t>
  </si>
  <si>
    <t>3.12.</t>
  </si>
  <si>
    <t>3.13.</t>
  </si>
  <si>
    <t>3.14.</t>
  </si>
  <si>
    <t>3.15.</t>
  </si>
  <si>
    <t>3.16.</t>
  </si>
  <si>
    <t>3.17.</t>
  </si>
  <si>
    <t>3.18.</t>
  </si>
  <si>
    <t>3.19.</t>
  </si>
  <si>
    <t>3.20.</t>
  </si>
  <si>
    <t>3.21.</t>
  </si>
  <si>
    <t>3.22.</t>
  </si>
  <si>
    <t>3.23.</t>
  </si>
  <si>
    <t>3.24.</t>
  </si>
  <si>
    <t>3.25.</t>
  </si>
  <si>
    <t>3.26.</t>
  </si>
  <si>
    <t>3.27.</t>
  </si>
  <si>
    <t>3.28.</t>
  </si>
  <si>
    <t>3.29.</t>
  </si>
  <si>
    <t>3.30.</t>
  </si>
  <si>
    <t>Anátomo Patológico</t>
  </si>
  <si>
    <t>Densitometria Óssea</t>
  </si>
  <si>
    <t>ECG - Eletrocardiograma</t>
  </si>
  <si>
    <t>Endoscopia Digestiva Baixa - Colonoscopia</t>
  </si>
  <si>
    <t>Espirometria - Prova de Função Pulmonar</t>
  </si>
  <si>
    <t>Laboratório de Análises Clínicas</t>
  </si>
  <si>
    <t>MAPA - Monitorização Ambulatorial de Pressão Arterial</t>
  </si>
  <si>
    <t>PAAF - Biópsia de Tireóide</t>
  </si>
  <si>
    <t>Radiologia - Raio-X</t>
  </si>
  <si>
    <t>Teste Ergométrico</t>
  </si>
  <si>
    <t>Fonoaudiologia</t>
  </si>
  <si>
    <t>Terapia Ocupacional</t>
  </si>
  <si>
    <t>Hemoterapia - Agência Transfusional</t>
  </si>
  <si>
    <t>Hemodiálise</t>
  </si>
  <si>
    <t>Total SADT Internos</t>
  </si>
  <si>
    <t>Total SADT Externos</t>
  </si>
  <si>
    <t>TOTAL GERAL  SADT</t>
  </si>
  <si>
    <t>Total Tratamentos Internos</t>
  </si>
  <si>
    <t>4.</t>
  </si>
  <si>
    <t>4.1.</t>
  </si>
  <si>
    <t>4.2.</t>
  </si>
  <si>
    <t>4.3.</t>
  </si>
  <si>
    <t>4.4.</t>
  </si>
  <si>
    <t>4.5.</t>
  </si>
  <si>
    <t>4.6.</t>
  </si>
  <si>
    <t>4.7.</t>
  </si>
  <si>
    <t>Nutrição e Dietética</t>
  </si>
  <si>
    <t>Serviços de Apoio</t>
  </si>
  <si>
    <t>Processamento da Roupa</t>
  </si>
  <si>
    <t>Encadernação</t>
  </si>
  <si>
    <t>Plastificação</t>
  </si>
  <si>
    <t>Cópias</t>
  </si>
  <si>
    <t>5.</t>
  </si>
  <si>
    <t>6.</t>
  </si>
  <si>
    <t>Serviços Administrativos</t>
  </si>
  <si>
    <t>Resumo Geral de Informações</t>
  </si>
  <si>
    <t>Gerente de Enfermagem</t>
  </si>
  <si>
    <t>2.7.5.</t>
  </si>
  <si>
    <t>Serviço de Apoio Diagnóstico Terapêutico</t>
  </si>
  <si>
    <t xml:space="preserve">GIOVANE MERENDA      </t>
  </si>
  <si>
    <t>DIRETOR EXECUTIVO</t>
  </si>
  <si>
    <t>DIRETOR ADMINISTRATIVO E FINANCEIRO</t>
  </si>
  <si>
    <t>DIRETORA TÉCNICA</t>
  </si>
  <si>
    <t>DIRETORA CLÍNICA</t>
  </si>
  <si>
    <t>SOLANGE ANTONELLI</t>
  </si>
  <si>
    <t>GERENTE ASSISTÊNCIAL</t>
  </si>
  <si>
    <t>Maqueiro</t>
  </si>
  <si>
    <t>Coordenação de Apoio</t>
  </si>
  <si>
    <t>Coordenação de Enfermagem</t>
  </si>
  <si>
    <t>Colangiopancreatografia Retrógrada Endoscópica</t>
  </si>
  <si>
    <t>Santa Bárbara do Pará</t>
  </si>
  <si>
    <t>3.6.1. Exames por  Unidade - Paciente Interno</t>
  </si>
  <si>
    <t>3.6.2. Exames por Unidade - Paciente Externo</t>
  </si>
  <si>
    <t>3.18.1. Exames por  Unidade - Paciente Interno</t>
  </si>
  <si>
    <t>3.18.2. Exames por Unidade - Paciente Externo</t>
  </si>
  <si>
    <t>3.21.1. Exames por  Unidade - Paciente Interno</t>
  </si>
  <si>
    <t>3.21.2. Exames por Unidade - Paciente Externo</t>
  </si>
  <si>
    <t>3.23.1. Exames por Tipo Pacientes Internos e Externos</t>
  </si>
  <si>
    <t>3.23.2. Exames por Tipo de Pacientes Internos</t>
  </si>
  <si>
    <t>3.23.3. Exames por  Unidade - Paciente Interno</t>
  </si>
  <si>
    <t>3.23.4. Exames por Tipo de Pacientes Externos</t>
  </si>
  <si>
    <t>3.31.1.  Exames por Tipo</t>
  </si>
  <si>
    <t>Bomba de Insulina</t>
  </si>
  <si>
    <t/>
  </si>
  <si>
    <t>3.14. MAPA - Monitorização Ambulatorial de Pressão Arterial</t>
  </si>
  <si>
    <t>3.15. Medicina Nuclear - Cintilografia</t>
  </si>
  <si>
    <t>3.16. Medicina Nuclear - Iodoterapia</t>
  </si>
  <si>
    <t>3.17. PAAF - Biópsia de Tireóide</t>
  </si>
  <si>
    <t>3.18. Polissonografia</t>
  </si>
  <si>
    <t>3.19. Radiologia - Raio-X</t>
  </si>
  <si>
    <t>3.19.4. Exames por Tipo  - Paciente Externo</t>
  </si>
  <si>
    <t>3.19.5. Exames por Unidade - Paciente Externo</t>
  </si>
  <si>
    <t>3.19.6. Filmes Gastos</t>
  </si>
  <si>
    <t>3.19.7. Filmes Inutilizados</t>
  </si>
  <si>
    <t>3.20. Ressonância Magnética</t>
  </si>
  <si>
    <t>3.21. Teste Ergométrico</t>
  </si>
  <si>
    <t>3.22. Tomografia</t>
  </si>
  <si>
    <t>3.22.1. Exames por Tipo Pacientes Internos e Externos</t>
  </si>
  <si>
    <t>3.22.2. Exames por Tipo de Pacientes Internos</t>
  </si>
  <si>
    <t>3.22.3. Exames por  Unidade - Paciente Interno</t>
  </si>
  <si>
    <t>3.22.4. Exames por Tipo de Pacientes Externos</t>
  </si>
  <si>
    <t>3.23. Ultrassonografia</t>
  </si>
  <si>
    <t>3.27. Hemoterapia - Agência Transfusional</t>
  </si>
  <si>
    <t>3.27.1. Nº de Bolsas Utilizadas por Unidade</t>
  </si>
  <si>
    <t>3.28. Hemodiálise</t>
  </si>
  <si>
    <t>3.28.1. Nº de Sessões por Unidade</t>
  </si>
  <si>
    <t>3.29. Pulsoterapia</t>
  </si>
  <si>
    <t>3.29.1. Exames por  Unidade - Paciente Interno</t>
  </si>
  <si>
    <t>3.29.2. Exames por Unidade - Paciente Externo</t>
  </si>
  <si>
    <t>3.30.1.  Exames por Tipo</t>
  </si>
  <si>
    <t>3.31.</t>
  </si>
  <si>
    <t>3.32.2</t>
  </si>
  <si>
    <t>3.33.</t>
  </si>
  <si>
    <t>Ponta de Pedras</t>
  </si>
  <si>
    <t>1.17. Transferência Interna por Unidade (Internas)</t>
  </si>
  <si>
    <t>1.18. Transferência Interna por Unidade (Externas)</t>
  </si>
  <si>
    <t>Abdominal Superior</t>
  </si>
  <si>
    <t>Pelve (Ginecologica)</t>
  </si>
  <si>
    <t>Assessoria de Comunicação</t>
  </si>
  <si>
    <t xml:space="preserve">Solicitação de Ambulancia </t>
  </si>
  <si>
    <t>5.1.2. Grau de Instrução - Geral - Internos</t>
  </si>
  <si>
    <t>Acará</t>
  </si>
  <si>
    <t>Canaã dos Carajás</t>
  </si>
  <si>
    <t>Curuçá</t>
  </si>
  <si>
    <t>Altamira</t>
  </si>
  <si>
    <t>Colares</t>
  </si>
  <si>
    <t>Jacundá</t>
  </si>
  <si>
    <t>Redenção</t>
  </si>
  <si>
    <t>Processamentos do Peróxido de Hidrogênio de Baumer</t>
  </si>
  <si>
    <t>São Sebastião da Boa Vista</t>
  </si>
  <si>
    <t>3.27.2. Outros Procedimentos</t>
  </si>
  <si>
    <t>Sangria Terapêutica</t>
  </si>
  <si>
    <t>Plasmaferese Terapêutica</t>
  </si>
  <si>
    <t>Inhangapi</t>
  </si>
  <si>
    <t>Cirurgia do Fígado e Vias Biliares</t>
  </si>
  <si>
    <t>Quatipuro</t>
  </si>
  <si>
    <t>5.1. Departamento Pessoal</t>
  </si>
  <si>
    <t>Breu Branco</t>
  </si>
  <si>
    <t>Angioplastia</t>
  </si>
  <si>
    <t>ACM</t>
  </si>
  <si>
    <t>Total de Saídas Hospitalares</t>
  </si>
  <si>
    <t>Consultas Ambulatórias</t>
  </si>
  <si>
    <t>SADT Internos</t>
  </si>
  <si>
    <t>SADT Externos</t>
  </si>
  <si>
    <t>4.1.1. Refeições Servidas</t>
  </si>
  <si>
    <t>Cirurgias Realizadas</t>
  </si>
  <si>
    <t>Resumo dos Serviços - NOV/2019</t>
  </si>
  <si>
    <t>PLANO ESTATÍSTICO 2020</t>
  </si>
  <si>
    <t>Cirurgia de Trangêneros</t>
  </si>
  <si>
    <t>3.1. Anátomo Patológico + Imunohistoquímico</t>
  </si>
  <si>
    <t>Abdômem Superior</t>
  </si>
  <si>
    <t>Coluna Cervical/Pescoço</t>
  </si>
  <si>
    <t>Bacia/Pelve/Abdômem Inferior</t>
  </si>
  <si>
    <t>Coluna Lombo-Sacra</t>
  </si>
  <si>
    <t>Membro Inferior (Unilateral)</t>
  </si>
  <si>
    <t>Membro Superior (Unilateral)</t>
  </si>
  <si>
    <t>Sela Turcica</t>
  </si>
  <si>
    <t>Vias Biliares/Colangioressonância</t>
  </si>
  <si>
    <t>Articulação de Membro Inferior</t>
  </si>
  <si>
    <t>Articulação de Membro Superior</t>
  </si>
  <si>
    <t>Segmentos Apendic. (braço/antebraço)</t>
  </si>
  <si>
    <t>Abdômen Agudo</t>
  </si>
  <si>
    <t>Articulação Sacro-Iliaca</t>
  </si>
  <si>
    <t>Articulação Tibio-Tarsica</t>
  </si>
  <si>
    <t>Perna</t>
  </si>
  <si>
    <t>Coluna Toraco-Lombar</t>
  </si>
  <si>
    <t>Mão e Punho (Verificar Idade Óssea)</t>
  </si>
  <si>
    <t>Calcâneo</t>
  </si>
  <si>
    <t>Seios da Face</t>
  </si>
  <si>
    <t>Braço</t>
  </si>
  <si>
    <t>Costelas (por Hemitorax)</t>
  </si>
  <si>
    <t>de Miocádio</t>
  </si>
  <si>
    <t>para Pesquisa do Corpo Inteiro</t>
  </si>
  <si>
    <t>de Pulmão por Perfuração</t>
  </si>
  <si>
    <t>de Pulmão por Inalação</t>
  </si>
  <si>
    <t>de Tireóide</t>
  </si>
  <si>
    <t>de Paratiróides</t>
  </si>
  <si>
    <t>3.19.3. Exames por Unidade - Paciente Interno</t>
  </si>
  <si>
    <t>3.19.1. Exames por Tipo Paciente Interno e Externo</t>
  </si>
  <si>
    <t>3.19.2. Exames por Tipo - Paciente Interno</t>
  </si>
  <si>
    <t>1.11. Altas por Unidade</t>
  </si>
  <si>
    <t>Aspiração</t>
  </si>
  <si>
    <t>Motora</t>
  </si>
  <si>
    <t>Respitatório</t>
  </si>
  <si>
    <t>Avaliação</t>
  </si>
  <si>
    <t>Estimulação</t>
  </si>
  <si>
    <t>Indicação de GTT</t>
  </si>
  <si>
    <t>Test BDT</t>
  </si>
  <si>
    <t>3.25.1. Sessões por Tipo - Paciente Interno</t>
  </si>
  <si>
    <t>Médicos</t>
  </si>
  <si>
    <t>Funcionários</t>
  </si>
  <si>
    <t>4.2.3. Resumo de Processamento de Roupa</t>
  </si>
  <si>
    <t>Coloridos de Vasos</t>
  </si>
  <si>
    <t>de Carótida</t>
  </si>
  <si>
    <t>de Membro Inferior Esquerdo - Arterial</t>
  </si>
  <si>
    <t>de Membro Inferior Esquerdo - Venoso</t>
  </si>
  <si>
    <t>de Membro Inferior Direito - Arterial</t>
  </si>
  <si>
    <t>de Membro Inferior Direito - Venoso</t>
  </si>
  <si>
    <t>Balão Intragástrico</t>
  </si>
  <si>
    <t>Total Pesquisas Internos</t>
  </si>
  <si>
    <t>Total Pesquisas Externos</t>
  </si>
  <si>
    <t>Total Pesquisas Realizados</t>
  </si>
  <si>
    <t>SADT</t>
  </si>
  <si>
    <t>Total Visitas Internos</t>
  </si>
  <si>
    <t>Total Visitas Externos</t>
  </si>
  <si>
    <t>Total Visitas Realizados</t>
  </si>
  <si>
    <t>3.30. Resumo do Total SADT Internos e Externo</t>
  </si>
  <si>
    <t xml:space="preserve"> </t>
  </si>
  <si>
    <t>Número de Reoperações do Período</t>
  </si>
  <si>
    <t>Número de Cirurgias Suspensas</t>
  </si>
  <si>
    <t>Amputação - Desarticulação de Membro Inferior</t>
  </si>
  <si>
    <t>Debridamento de Fasceite Necrotizante</t>
  </si>
  <si>
    <t>Traqueostomia</t>
  </si>
  <si>
    <t>Média Diária de Cirúrgias</t>
  </si>
  <si>
    <t>Média Diária de Saídas Hospitalares</t>
  </si>
  <si>
    <t>Média Diária de Internações</t>
  </si>
  <si>
    <t>Melgaço</t>
  </si>
  <si>
    <t>Cachoeira do Piriá</t>
  </si>
  <si>
    <t>2.1.5. Procedimentos de Urgências</t>
  </si>
  <si>
    <t>2.7.2. Pesquisa por Unidade - Paciente Interno</t>
  </si>
  <si>
    <t>2.7.3. Pesquisas por Unidade - Paciente Externo</t>
  </si>
  <si>
    <t>2.7.4. Serviço Social</t>
  </si>
  <si>
    <t>2.7.5. Visitas por Unidade - Paciente Interno</t>
  </si>
  <si>
    <t>2.7.6. Visitas por Unidade - Paciente Externo</t>
  </si>
  <si>
    <t>2.7.7. Serviço Nutricional</t>
  </si>
  <si>
    <t>2.7.8. Visitas por Unidade - Paciente Interno</t>
  </si>
  <si>
    <t>2.7.9. Visitas por Unidade - Paciente Externo</t>
  </si>
  <si>
    <t>2.7.10. Serviço Psicologia</t>
  </si>
  <si>
    <t>2.7.11. Visitas por Unidade - Paciente Interno</t>
  </si>
  <si>
    <t>2.7.12. Visitas por Unidade - Paciente Externo</t>
  </si>
  <si>
    <t>2.7.13. Núcleo de Educação Permanente</t>
  </si>
  <si>
    <t>3.2. Balão Intragástrico</t>
  </si>
  <si>
    <t>3.3. Bomba de Insulina - Sistema de Infusão de Insulina</t>
  </si>
  <si>
    <t>3.4. Broncoscopia</t>
  </si>
  <si>
    <t>3.4.3. Procedimentos Secundários - Broncoscopia</t>
  </si>
  <si>
    <t>3.6. Densitometria Óssea</t>
  </si>
  <si>
    <t>3.7. Ecocardiograma</t>
  </si>
  <si>
    <t>3.7.1. Exames por  Unidade - Paciente Interno</t>
  </si>
  <si>
    <t>3.7.2. Exames por Unidade - Paciente Externo</t>
  </si>
  <si>
    <t>3.8. ECG - Eletrocardiograma</t>
  </si>
  <si>
    <t>3.5. CPRE - Colangiopancreatografia Retrógrada Endoscópica</t>
  </si>
  <si>
    <t>3.8.1. Exames por  Unidade - Paciente Interno</t>
  </si>
  <si>
    <t>3.8.2. Exames por Unidade - Paciente Externo</t>
  </si>
  <si>
    <t>3.9. Endoscopia Digestiva Alta</t>
  </si>
  <si>
    <t>3.9.1. Exames por Tipo Pacientes Internos e Externos</t>
  </si>
  <si>
    <t>3.9.2. Exames por Tipo Pacientes Internos</t>
  </si>
  <si>
    <t>3.9.3. Exames por  Unidade de Pacientes Internos</t>
  </si>
  <si>
    <t>3.9.4. Exames por Tipo Pacientes Externo</t>
  </si>
  <si>
    <t>3.10. Endoscopia Digestiva Baixa - Colonoscopia</t>
  </si>
  <si>
    <t>3.10.1. Exames por Tipo Pacientes Internos e Externos</t>
  </si>
  <si>
    <t>3.10.2. Exames por Tipo Pacientes Internos</t>
  </si>
  <si>
    <t>3.10.3. Exames por  Unidade de Pacientes Internos</t>
  </si>
  <si>
    <t>3.10.4. Exames por Tipo Pacientes Externos</t>
  </si>
  <si>
    <t>3.11. Escleroterapia Ecoviada com Espuma</t>
  </si>
  <si>
    <t>3.11.1. Exames por  Unidade - Paciente Interno</t>
  </si>
  <si>
    <t>3.11.2. Exames por Unidade - Paciente Externo</t>
  </si>
  <si>
    <t>3.12. Espirometria - Prova de Função Pulmonar</t>
  </si>
  <si>
    <t>3.12.1. Exames por  Unidade - Paciente Interno</t>
  </si>
  <si>
    <t>3.12.2. Exames por Unidade - Paciente Externo</t>
  </si>
  <si>
    <t>3.13. Laboratório de Análises Clínicas</t>
  </si>
  <si>
    <t>3.13.1. Exames por Tipo Pac. Internos e Externos</t>
  </si>
  <si>
    <t>3.13.2. Exames por  Unidade - Paciente Interno</t>
  </si>
  <si>
    <t>3.13.3. Exames por Unidade - Paciente Externo</t>
  </si>
  <si>
    <t>3.15.1. Exames por  Unidade - Paciente Interno e Externo</t>
  </si>
  <si>
    <t>3.15.2. Exames por Tipo - Paciente Interno</t>
  </si>
  <si>
    <t>3.15.4. Exames por Tipo - Paciente Externo</t>
  </si>
  <si>
    <t>3.15.5. Exames por Unidade - Paciente Externo</t>
  </si>
  <si>
    <t>3.20.1. Exames por Tipo Pac. Interno e Externo</t>
  </si>
  <si>
    <t>3.20.2. Exames por Tipo de Pacientes Internos</t>
  </si>
  <si>
    <t>3.20.3. Exames por  Unidade - Paciente Interno</t>
  </si>
  <si>
    <t>3.20.4. Exames por Tipo de Pacientes Externo</t>
  </si>
  <si>
    <t>3.20.5. Exames por Unidade - Paciente Externo</t>
  </si>
  <si>
    <t>3.24. Ultrassonografia com Doppler</t>
  </si>
  <si>
    <t>3.24.1. Exames por Tipo Pacientes Internos e Externos</t>
  </si>
  <si>
    <t>3.24.2. Exames por Tipo de Pacientes Internos</t>
  </si>
  <si>
    <t>3.24.3. Exames por  Unidade - Paciente Interno</t>
  </si>
  <si>
    <t>3.24.4. Exames por Tipo de Pacientes Externos</t>
  </si>
  <si>
    <t>3.25. Fisioterapia</t>
  </si>
  <si>
    <t>3.25.2. Sessões por Unidade - Paciente Interno</t>
  </si>
  <si>
    <t>3.25.3. Sessão p/ Unidade - Paciente Externo</t>
  </si>
  <si>
    <t>3.26. Fonoaudiologia</t>
  </si>
  <si>
    <t>3.26.1. Sessões por Tipo - Paciente Interno</t>
  </si>
  <si>
    <t>3.26.2. Sessões por Unidade - Paciente Interno</t>
  </si>
  <si>
    <t>3.26.3. Sessão p/ Unidade - Paciente Externo</t>
  </si>
  <si>
    <t>3.31. Total SADT Internos</t>
  </si>
  <si>
    <t>3.32. Total SADT Externos</t>
  </si>
  <si>
    <t>3.32.1.  Exames por Tipo</t>
  </si>
  <si>
    <t>3.33. Total SADT Internos</t>
  </si>
  <si>
    <t>3.33.1. Total SADT Externos</t>
  </si>
  <si>
    <t>3.33.2. TOTAL GERAL  SADT</t>
  </si>
  <si>
    <t>3.34. Total Tratamentos Internos</t>
  </si>
  <si>
    <t>3.34.1.  Atendimento por Sessões</t>
  </si>
  <si>
    <t>4.1.3. Refeição Servidas Complementar</t>
  </si>
  <si>
    <t>4.1.4. Refeição Servidas Complementar - Por Unidade</t>
  </si>
  <si>
    <t>2.1.3 Cirurgias por Tipo</t>
  </si>
  <si>
    <t>Laparotomia Exploradora</t>
  </si>
  <si>
    <t>Pleurostomia</t>
  </si>
  <si>
    <t>Dermolipectomia Abdominal Circunferencial</t>
  </si>
  <si>
    <t>Angioplastia Intraluminal de Vasos das Extremidades</t>
  </si>
  <si>
    <t>Drenagem de Hematoma/Abscesso Pré-Peritoneal</t>
  </si>
  <si>
    <t>Lavado Bronco-Alveolar</t>
  </si>
  <si>
    <t>4.1.5. Inutilização de Refeição Complementar</t>
  </si>
  <si>
    <t>Diretoria Executiva</t>
  </si>
  <si>
    <t>Diretoria Administrativa e Financeira</t>
  </si>
  <si>
    <t>Diretoria Técnica</t>
  </si>
  <si>
    <t>p</t>
  </si>
  <si>
    <t>Pelve/Bacia/Abdomem Inferior</t>
  </si>
  <si>
    <t>Aurora do Pará</t>
  </si>
  <si>
    <t>Bom Jesus do Tocantins</t>
  </si>
  <si>
    <t>Capanema</t>
  </si>
  <si>
    <t>Curralinho</t>
  </si>
  <si>
    <t>Garrafão do Norte</t>
  </si>
  <si>
    <t>Goianésia do Pará</t>
  </si>
  <si>
    <t>Ipixuna do Pará</t>
  </si>
  <si>
    <t>Muana</t>
  </si>
  <si>
    <t>Salinópolis</t>
  </si>
  <si>
    <t>Santa Luzia do Pará</t>
  </si>
  <si>
    <t>Santa Maria do Pará</t>
  </si>
  <si>
    <t>São Domingos do Capim</t>
  </si>
  <si>
    <t>São Francisco do Pará</t>
  </si>
  <si>
    <t>Tomé-Açu</t>
  </si>
  <si>
    <t>2.1.4 Horas de Utilização de Sala no Centro Cirúrgico - Por Tipo de Cirurgia</t>
  </si>
  <si>
    <t>Breves</t>
  </si>
  <si>
    <t>Conceição do Araguaia</t>
  </si>
  <si>
    <t>Igarapé -Miri</t>
  </si>
  <si>
    <t>Ourém</t>
  </si>
  <si>
    <t>Pau D'arco</t>
  </si>
  <si>
    <t>Portel</t>
  </si>
  <si>
    <t>Tucurui</t>
  </si>
  <si>
    <t>Amputação - Drenagem de abcesso</t>
  </si>
  <si>
    <t>Baião</t>
  </si>
  <si>
    <t>Bonito</t>
  </si>
  <si>
    <t>Maracanã</t>
  </si>
  <si>
    <t>Rondon do Pará</t>
  </si>
  <si>
    <t>Salvaterra</t>
  </si>
  <si>
    <t>São Felix do Xingu</t>
  </si>
  <si>
    <t>4.3. Coletas de Resíduos de Saúde</t>
  </si>
  <si>
    <t>Tipo B - Químico</t>
  </si>
  <si>
    <t>Tipo A&amp;E - Infectantes e Perfuro Cortantes</t>
  </si>
  <si>
    <t>Tipo C - Radioativos</t>
  </si>
  <si>
    <t>Tipo D - Comuns</t>
  </si>
  <si>
    <t>4.3.1. Kg de Resíduos por Tipo. RDC 222/18</t>
  </si>
  <si>
    <t>4.4. Manutenção</t>
  </si>
  <si>
    <t>4.4.1. Reparos por Área</t>
  </si>
  <si>
    <t>4.4.2. Reparos por Setor</t>
  </si>
  <si>
    <t>4.3.2. Valor Kg de Resíduos de Saúde</t>
  </si>
  <si>
    <t>São João de Pirabas</t>
  </si>
  <si>
    <t>Vigia</t>
  </si>
  <si>
    <t>Bagre</t>
  </si>
  <si>
    <t>Bujaru</t>
  </si>
  <si>
    <t>Concordia do Pará</t>
  </si>
  <si>
    <t>Marabá</t>
  </si>
  <si>
    <t>Nova Timboteua</t>
  </si>
  <si>
    <t>Parauapebas</t>
  </si>
  <si>
    <t>São Caetano de Odivelas</t>
  </si>
  <si>
    <t>São Domingos do Arari</t>
  </si>
  <si>
    <t>1.14. Óbitos Não Institucionais p/ Especialidade (-24h)</t>
  </si>
  <si>
    <t>1.15. Óbitos Institucionais p/ Especialidade  (+24h)</t>
  </si>
  <si>
    <t>Gurupa</t>
  </si>
  <si>
    <t>Monte Alegre</t>
  </si>
  <si>
    <t>Novo Repartimento</t>
  </si>
  <si>
    <t>Terra Alta</t>
  </si>
  <si>
    <t>Abel Figueiredo</t>
  </si>
  <si>
    <t>Rio Maria</t>
  </si>
  <si>
    <t>São Geraldo do Araguaia</t>
  </si>
  <si>
    <t>Viseu</t>
  </si>
  <si>
    <t>Ourilandia do Norte</t>
  </si>
  <si>
    <t>Soure</t>
  </si>
  <si>
    <t>3.15.3. Exames por unidade - Paciente Interno</t>
  </si>
  <si>
    <t>Itupiranga</t>
  </si>
  <si>
    <t>Mocajuba</t>
  </si>
  <si>
    <t>Mojui dos Campos</t>
  </si>
  <si>
    <t>Santarém</t>
  </si>
  <si>
    <t>Tucumã</t>
  </si>
  <si>
    <t>Bannach</t>
  </si>
  <si>
    <t>Obidos</t>
  </si>
  <si>
    <t>Oeiras do Pará</t>
  </si>
  <si>
    <t>Santa Maria das Barreiras</t>
  </si>
  <si>
    <t>São João da Ponta</t>
  </si>
  <si>
    <t>Mastologia</t>
  </si>
  <si>
    <t>Almeirim</t>
  </si>
  <si>
    <t>Santana do Araguaia</t>
  </si>
  <si>
    <t>Senador José Porfírio</t>
  </si>
  <si>
    <t>Belém, 08 de janeiro de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</si>
</sst>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3" formatCode="_-* #,##0.00_-;\-* #,##0.00_-;_-* &quot;-&quot;??_-;_-@_-"/>
    <numFmt numFmtId="164" formatCode="0&quot; &quot;;&quot;(&quot;0&quot;)&quot;;&quot;- &quot;;@&quot; &quot;"/>
    <numFmt numFmtId="165" formatCode="#,##0.0"/>
    <numFmt numFmtId="166" formatCode="[h]:mm:ss;@"/>
    <numFmt numFmtId="167" formatCode="#,##0.000"/>
    <numFmt numFmtId="168" formatCode="h:mm:ss;@"/>
    <numFmt numFmtId="169" formatCode="[$-F400]h:mm:ss\ AM/PM"/>
    <numFmt numFmtId="170" formatCode="_-* #,##0.00_-;\-* #,##0.00_-;_-* &quot;-&quot;_-;_-@_-"/>
  </numFmts>
  <fonts count="44">
    <font>
      <sz val="11"/>
      <color rgb="FF000000"/>
      <name val="Liberation sans1"/>
    </font>
    <font>
      <sz val="11"/>
      <color theme="1"/>
      <name val="Calibri"/>
      <family val="2"/>
      <scheme val="minor"/>
    </font>
    <font>
      <sz val="11"/>
      <color rgb="FF000000"/>
      <name val="Arial1"/>
    </font>
    <font>
      <sz val="11"/>
      <color rgb="FF000000"/>
      <name val="Liberation sans1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2"/>
      <color rgb="FF000000"/>
      <name val="Arial"/>
      <family val="2"/>
    </font>
    <font>
      <sz val="12"/>
      <color rgb="FF000000"/>
      <name val="Arial1"/>
    </font>
    <font>
      <sz val="12"/>
      <color rgb="FF000000"/>
      <name val="Liberation sans1"/>
    </font>
    <font>
      <sz val="12"/>
      <name val="Arial"/>
      <family val="2"/>
    </font>
    <font>
      <b/>
      <sz val="12"/>
      <color rgb="FF000000"/>
      <name val="Arial1"/>
    </font>
    <font>
      <sz val="12"/>
      <color rgb="FF000000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1"/>
    </font>
    <font>
      <sz val="12"/>
      <color theme="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1"/>
    </font>
    <font>
      <b/>
      <sz val="12"/>
      <color rgb="FF0000FF"/>
      <name val="Arial1"/>
    </font>
    <font>
      <b/>
      <sz val="11"/>
      <color rgb="FF000000"/>
      <name val="Arial1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11"/>
      <color rgb="FF000000"/>
      <name val="Arial"/>
      <family val="2"/>
    </font>
    <font>
      <sz val="12"/>
      <color theme="0"/>
      <name val="Arial1"/>
    </font>
    <font>
      <sz val="12"/>
      <color theme="0"/>
      <name val="Liberation sans1"/>
    </font>
    <font>
      <b/>
      <sz val="12"/>
      <color theme="0"/>
      <name val="Arial1"/>
    </font>
    <font>
      <b/>
      <sz val="11"/>
      <color rgb="FF000000"/>
      <name val="Liberation sans1"/>
    </font>
    <font>
      <u/>
      <sz val="11"/>
      <color theme="10"/>
      <name val="Liberation sans1"/>
    </font>
    <font>
      <b/>
      <sz val="11"/>
      <color rgb="FF000000"/>
      <name val="Arial"/>
      <family val="2"/>
    </font>
    <font>
      <u/>
      <sz val="11"/>
      <color theme="10"/>
      <name val="Arial"/>
      <family val="2"/>
    </font>
    <font>
      <b/>
      <sz val="16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theme="0"/>
      <name val="Liberation sans1"/>
    </font>
    <font>
      <b/>
      <sz val="10"/>
      <color theme="0"/>
      <name val="Arial"/>
      <family val="2"/>
    </font>
    <font>
      <b/>
      <i/>
      <sz val="10"/>
      <color rgb="FF000000"/>
      <name val="Arial"/>
      <family val="2"/>
    </font>
    <font>
      <b/>
      <sz val="10"/>
      <color indexed="81"/>
      <name val="Arial"/>
      <family val="2"/>
    </font>
    <font>
      <sz val="10"/>
      <color indexed="81"/>
      <name val="Arial"/>
      <family val="2"/>
    </font>
    <font>
      <b/>
      <sz val="12"/>
      <color indexed="81"/>
      <name val="Arial"/>
      <family val="2"/>
    </font>
    <font>
      <sz val="12"/>
      <color indexed="81"/>
      <name val="Arial"/>
      <family val="2"/>
    </font>
    <font>
      <sz val="11"/>
      <color indexed="81"/>
      <name val="Segoe UI"/>
      <family val="2"/>
    </font>
    <font>
      <sz val="10"/>
      <color indexed="81"/>
      <name val="Segoe UI"/>
      <family val="2"/>
    </font>
    <font>
      <sz val="7"/>
      <color indexed="8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2"/>
        <bgColor rgb="FFFFFFFF"/>
      </patternFill>
    </fill>
    <fill>
      <patternFill patternType="solid">
        <fgColor theme="0" tint="-0.14999847407452621"/>
        <bgColor rgb="FFFFFFC0"/>
      </patternFill>
    </fill>
    <fill>
      <patternFill patternType="solid">
        <fgColor theme="2"/>
        <bgColor rgb="FFFFFFC0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rgb="FFA0E0E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rgb="FF69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2060"/>
        <bgColor rgb="FFFFFFC0"/>
      </patternFill>
    </fill>
    <fill>
      <patternFill patternType="solid">
        <fgColor theme="0"/>
        <bgColor rgb="FFB2B2B2"/>
      </patternFill>
    </fill>
  </fills>
  <borders count="7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28" fillId="0" borderId="0" applyNumberFormat="0" applyFill="0" applyBorder="0" applyAlignment="0" applyProtection="0"/>
    <xf numFmtId="0" fontId="1" fillId="0" borderId="0"/>
  </cellStyleXfs>
  <cellXfs count="501">
    <xf numFmtId="0" fontId="0" fillId="0" borderId="0" xfId="0" applyFont="1" applyAlignment="1"/>
    <xf numFmtId="0" fontId="2" fillId="0" borderId="6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0" fillId="0" borderId="0" xfId="0" applyFont="1" applyAlignment="1"/>
    <xf numFmtId="0" fontId="0" fillId="0" borderId="0" xfId="0" applyFont="1" applyAlignment="1"/>
    <xf numFmtId="2" fontId="6" fillId="9" borderId="11" xfId="0" applyNumberFormat="1" applyFont="1" applyFill="1" applyBorder="1" applyAlignment="1">
      <alignment horizontal="left" vertical="center"/>
    </xf>
    <xf numFmtId="3" fontId="6" fillId="9" borderId="11" xfId="0" applyNumberFormat="1" applyFont="1" applyFill="1" applyBorder="1" applyAlignment="1">
      <alignment horizontal="center" vertical="center"/>
    </xf>
    <xf numFmtId="4" fontId="6" fillId="4" borderId="11" xfId="0" applyNumberFormat="1" applyFont="1" applyFill="1" applyBorder="1" applyAlignment="1">
      <alignment horizontal="right" vertical="center"/>
    </xf>
    <xf numFmtId="2" fontId="7" fillId="0" borderId="0" xfId="0" applyNumberFormat="1" applyFont="1" applyAlignment="1">
      <alignment horizontal="right" vertical="center"/>
    </xf>
    <xf numFmtId="0" fontId="8" fillId="0" borderId="0" xfId="0" applyFont="1" applyAlignment="1"/>
    <xf numFmtId="2" fontId="6" fillId="7" borderId="16" xfId="0" applyNumberFormat="1" applyFont="1" applyFill="1" applyBorder="1" applyAlignment="1">
      <alignment vertical="center"/>
    </xf>
    <xf numFmtId="3" fontId="9" fillId="8" borderId="7" xfId="0" applyNumberFormat="1" applyFont="1" applyFill="1" applyBorder="1" applyAlignment="1"/>
    <xf numFmtId="4" fontId="9" fillId="8" borderId="9" xfId="0" applyNumberFormat="1" applyFont="1" applyFill="1" applyBorder="1" applyAlignment="1"/>
    <xf numFmtId="2" fontId="10" fillId="0" borderId="0" xfId="0" applyNumberFormat="1" applyFont="1" applyAlignment="1">
      <alignment horizontal="right" vertical="center"/>
    </xf>
    <xf numFmtId="2" fontId="11" fillId="2" borderId="2" xfId="0" applyNumberFormat="1" applyFont="1" applyFill="1" applyBorder="1" applyAlignment="1">
      <alignment vertical="center"/>
    </xf>
    <xf numFmtId="3" fontId="11" fillId="2" borderId="2" xfId="0" applyNumberFormat="1" applyFont="1" applyFill="1" applyBorder="1" applyAlignment="1">
      <alignment vertical="center"/>
    </xf>
    <xf numFmtId="4" fontId="11" fillId="0" borderId="0" xfId="0" applyNumberFormat="1" applyFont="1" applyAlignment="1">
      <alignment horizontal="right" vertical="center"/>
    </xf>
    <xf numFmtId="2" fontId="12" fillId="5" borderId="1" xfId="0" applyNumberFormat="1" applyFont="1" applyFill="1" applyBorder="1" applyAlignment="1">
      <alignment vertical="center"/>
    </xf>
    <xf numFmtId="3" fontId="9" fillId="6" borderId="2" xfId="0" applyNumberFormat="1" applyFont="1" applyFill="1" applyBorder="1" applyAlignment="1"/>
    <xf numFmtId="4" fontId="9" fillId="6" borderId="3" xfId="0" applyNumberFormat="1" applyFont="1" applyFill="1" applyBorder="1" applyAlignment="1"/>
    <xf numFmtId="2" fontId="11" fillId="0" borderId="4" xfId="0" applyNumberFormat="1" applyFont="1" applyBorder="1" applyAlignment="1">
      <alignment horizontal="left" vertical="center"/>
    </xf>
    <xf numFmtId="3" fontId="11" fillId="0" borderId="4" xfId="0" applyNumberFormat="1" applyFont="1" applyFill="1" applyBorder="1" applyAlignment="1">
      <alignment horizontal="right" vertical="center"/>
    </xf>
    <xf numFmtId="4" fontId="6" fillId="0" borderId="4" xfId="0" applyNumberFormat="1" applyFont="1" applyFill="1" applyBorder="1" applyAlignment="1">
      <alignment horizontal="right" vertical="center"/>
    </xf>
    <xf numFmtId="2" fontId="6" fillId="6" borderId="4" xfId="0" applyNumberFormat="1" applyFont="1" applyFill="1" applyBorder="1" applyAlignment="1">
      <alignment vertical="center"/>
    </xf>
    <xf numFmtId="3" fontId="6" fillId="6" borderId="4" xfId="0" applyNumberFormat="1" applyFont="1" applyFill="1" applyBorder="1" applyAlignment="1">
      <alignment horizontal="right" vertical="center"/>
    </xf>
    <xf numFmtId="4" fontId="6" fillId="6" borderId="4" xfId="0" applyNumberFormat="1" applyFont="1" applyFill="1" applyBorder="1" applyAlignment="1">
      <alignment horizontal="right" vertical="center"/>
    </xf>
    <xf numFmtId="164" fontId="11" fillId="0" borderId="2" xfId="0" applyNumberFormat="1" applyFont="1" applyBorder="1" applyAlignment="1">
      <alignment vertical="center"/>
    </xf>
    <xf numFmtId="3" fontId="11" fillId="0" borderId="2" xfId="0" applyNumberFormat="1" applyFont="1" applyBorder="1" applyAlignment="1">
      <alignment vertical="center"/>
    </xf>
    <xf numFmtId="3" fontId="11" fillId="0" borderId="2" xfId="0" applyNumberFormat="1" applyFont="1" applyBorder="1" applyAlignment="1">
      <alignment horizontal="right" vertical="center"/>
    </xf>
    <xf numFmtId="4" fontId="11" fillId="0" borderId="2" xfId="0" applyNumberFormat="1" applyFont="1" applyBorder="1" applyAlignment="1">
      <alignment horizontal="right" vertical="center"/>
    </xf>
    <xf numFmtId="3" fontId="12" fillId="5" borderId="2" xfId="0" applyNumberFormat="1" applyFont="1" applyFill="1" applyBorder="1" applyAlignment="1">
      <alignment vertical="center"/>
    </xf>
    <xf numFmtId="4" fontId="12" fillId="5" borderId="3" xfId="0" applyNumberFormat="1" applyFont="1" applyFill="1" applyBorder="1" applyAlignment="1">
      <alignment vertical="center"/>
    </xf>
    <xf numFmtId="2" fontId="11" fillId="0" borderId="4" xfId="0" applyNumberFormat="1" applyFont="1" applyBorder="1" applyAlignment="1">
      <alignment vertical="center"/>
    </xf>
    <xf numFmtId="164" fontId="11" fillId="0" borderId="6" xfId="0" applyNumberFormat="1" applyFont="1" applyBorder="1" applyAlignment="1">
      <alignment vertical="center"/>
    </xf>
    <xf numFmtId="3" fontId="11" fillId="0" borderId="6" xfId="0" applyNumberFormat="1" applyFont="1" applyBorder="1" applyAlignment="1">
      <alignment vertical="center"/>
    </xf>
    <xf numFmtId="3" fontId="11" fillId="0" borderId="6" xfId="0" applyNumberFormat="1" applyFont="1" applyBorder="1" applyAlignment="1">
      <alignment horizontal="right" vertical="center"/>
    </xf>
    <xf numFmtId="2" fontId="13" fillId="11" borderId="4" xfId="0" applyNumberFormat="1" applyFont="1" applyFill="1" applyBorder="1" applyAlignment="1">
      <alignment vertical="center"/>
    </xf>
    <xf numFmtId="2" fontId="11" fillId="0" borderId="4" xfId="0" applyNumberFormat="1" applyFont="1" applyBorder="1" applyAlignment="1">
      <alignment vertical="center" wrapText="1"/>
    </xf>
    <xf numFmtId="3" fontId="11" fillId="0" borderId="11" xfId="0" applyNumberFormat="1" applyFont="1" applyFill="1" applyBorder="1" applyAlignment="1">
      <alignment horizontal="right" vertical="center"/>
    </xf>
    <xf numFmtId="3" fontId="11" fillId="0" borderId="5" xfId="0" applyNumberFormat="1" applyFont="1" applyFill="1" applyBorder="1" applyAlignment="1">
      <alignment horizontal="right" vertical="center"/>
    </xf>
    <xf numFmtId="2" fontId="11" fillId="0" borderId="4" xfId="0" applyNumberFormat="1" applyFont="1" applyBorder="1" applyAlignment="1">
      <alignment horizontal="left" vertical="center" wrapText="1"/>
    </xf>
    <xf numFmtId="3" fontId="11" fillId="0" borderId="2" xfId="0" applyNumberFormat="1" applyFont="1" applyFill="1" applyBorder="1" applyAlignment="1">
      <alignment vertical="center"/>
    </xf>
    <xf numFmtId="3" fontId="11" fillId="0" borderId="2" xfId="0" applyNumberFormat="1" applyFont="1" applyFill="1" applyBorder="1" applyAlignment="1">
      <alignment horizontal="right" vertical="center"/>
    </xf>
    <xf numFmtId="4" fontId="11" fillId="0" borderId="0" xfId="0" applyNumberFormat="1" applyFont="1" applyFill="1" applyAlignment="1">
      <alignment horizontal="right" vertical="center"/>
    </xf>
    <xf numFmtId="2" fontId="11" fillId="0" borderId="11" xfId="0" applyNumberFormat="1" applyFont="1" applyBorder="1" applyAlignment="1">
      <alignment horizontal="left" vertical="center" wrapText="1"/>
    </xf>
    <xf numFmtId="4" fontId="6" fillId="0" borderId="11" xfId="0" applyNumberFormat="1" applyFont="1" applyFill="1" applyBorder="1" applyAlignment="1">
      <alignment horizontal="right" vertical="center"/>
    </xf>
    <xf numFmtId="2" fontId="6" fillId="6" borderId="11" xfId="0" applyNumberFormat="1" applyFont="1" applyFill="1" applyBorder="1" applyAlignment="1">
      <alignment vertical="center"/>
    </xf>
    <xf numFmtId="3" fontId="6" fillId="6" borderId="11" xfId="0" applyNumberFormat="1" applyFont="1" applyFill="1" applyBorder="1" applyAlignment="1">
      <alignment horizontal="right" vertical="center"/>
    </xf>
    <xf numFmtId="4" fontId="6" fillId="6" borderId="11" xfId="0" applyNumberFormat="1" applyFont="1" applyFill="1" applyBorder="1" applyAlignment="1">
      <alignment horizontal="right" vertical="center"/>
    </xf>
    <xf numFmtId="164" fontId="11" fillId="0" borderId="0" xfId="0" applyNumberFormat="1" applyFont="1" applyBorder="1" applyAlignment="1">
      <alignment vertical="center"/>
    </xf>
    <xf numFmtId="3" fontId="11" fillId="0" borderId="0" xfId="0" applyNumberFormat="1" applyFont="1" applyBorder="1" applyAlignment="1">
      <alignment vertical="center"/>
    </xf>
    <xf numFmtId="3" fontId="11" fillId="0" borderId="0" xfId="0" applyNumberFormat="1" applyFont="1" applyBorder="1" applyAlignment="1">
      <alignment horizontal="right" vertical="center"/>
    </xf>
    <xf numFmtId="4" fontId="11" fillId="0" borderId="0" xfId="0" applyNumberFormat="1" applyFont="1" applyBorder="1" applyAlignment="1">
      <alignment horizontal="right" vertical="center"/>
    </xf>
    <xf numFmtId="2" fontId="11" fillId="0" borderId="11" xfId="0" applyNumberFormat="1" applyFont="1" applyBorder="1" applyAlignment="1">
      <alignment vertical="center" wrapText="1"/>
    </xf>
    <xf numFmtId="3" fontId="11" fillId="0" borderId="7" xfId="0" applyNumberFormat="1" applyFont="1" applyBorder="1" applyAlignment="1">
      <alignment vertical="center"/>
    </xf>
    <xf numFmtId="3" fontId="11" fillId="0" borderId="7" xfId="0" applyNumberFormat="1" applyFont="1" applyBorder="1" applyAlignment="1">
      <alignment horizontal="right" vertical="center"/>
    </xf>
    <xf numFmtId="164" fontId="11" fillId="0" borderId="7" xfId="0" applyNumberFormat="1" applyFont="1" applyBorder="1" applyAlignment="1">
      <alignment vertical="center"/>
    </xf>
    <xf numFmtId="4" fontId="6" fillId="0" borderId="0" xfId="0" applyNumberFormat="1" applyFont="1" applyAlignment="1">
      <alignment horizontal="right" vertical="center"/>
    </xf>
    <xf numFmtId="2" fontId="12" fillId="7" borderId="1" xfId="0" applyNumberFormat="1" applyFont="1" applyFill="1" applyBorder="1" applyAlignment="1">
      <alignment vertical="center"/>
    </xf>
    <xf numFmtId="3" fontId="9" fillId="8" borderId="2" xfId="0" applyNumberFormat="1" applyFont="1" applyFill="1" applyBorder="1" applyAlignment="1"/>
    <xf numFmtId="4" fontId="9" fillId="8" borderId="3" xfId="0" applyNumberFormat="1" applyFont="1" applyFill="1" applyBorder="1" applyAlignment="1"/>
    <xf numFmtId="0" fontId="9" fillId="6" borderId="2" xfId="0" applyFont="1" applyFill="1" applyBorder="1" applyAlignment="1"/>
    <xf numFmtId="2" fontId="6" fillId="6" borderId="4" xfId="0" applyNumberFormat="1" applyFont="1" applyFill="1" applyBorder="1" applyAlignment="1">
      <alignment vertical="center" wrapText="1"/>
    </xf>
    <xf numFmtId="2" fontId="14" fillId="0" borderId="0" xfId="0" applyNumberFormat="1" applyFont="1" applyAlignment="1">
      <alignment horizontal="right" vertical="center"/>
    </xf>
    <xf numFmtId="2" fontId="11" fillId="6" borderId="4" xfId="0" applyNumberFormat="1" applyFont="1" applyFill="1" applyBorder="1" applyAlignment="1">
      <alignment vertical="center" wrapText="1"/>
    </xf>
    <xf numFmtId="3" fontId="11" fillId="6" borderId="4" xfId="0" applyNumberFormat="1" applyFont="1" applyFill="1" applyBorder="1" applyAlignment="1">
      <alignment horizontal="right" vertical="center"/>
    </xf>
    <xf numFmtId="2" fontId="6" fillId="6" borderId="1" xfId="0" applyNumberFormat="1" applyFont="1" applyFill="1" applyBorder="1" applyAlignment="1">
      <alignment vertical="center"/>
    </xf>
    <xf numFmtId="164" fontId="15" fillId="0" borderId="2" xfId="0" applyNumberFormat="1" applyFont="1" applyBorder="1" applyAlignment="1">
      <alignment vertical="center"/>
    </xf>
    <xf numFmtId="3" fontId="15" fillId="0" borderId="2" xfId="0" applyNumberFormat="1" applyFont="1" applyBorder="1" applyAlignment="1">
      <alignment vertical="center"/>
    </xf>
    <xf numFmtId="4" fontId="16" fillId="0" borderId="0" xfId="0" applyNumberFormat="1" applyFont="1" applyAlignment="1">
      <alignment horizontal="right" vertical="center"/>
    </xf>
    <xf numFmtId="2" fontId="11" fillId="0" borderId="10" xfId="0" applyNumberFormat="1" applyFont="1" applyBorder="1" applyAlignment="1">
      <alignment vertical="center" wrapText="1"/>
    </xf>
    <xf numFmtId="3" fontId="11" fillId="0" borderId="10" xfId="0" applyNumberFormat="1" applyFont="1" applyFill="1" applyBorder="1" applyAlignment="1">
      <alignment horizontal="right" vertical="center"/>
    </xf>
    <xf numFmtId="4" fontId="6" fillId="0" borderId="10" xfId="0" applyNumberFormat="1" applyFont="1" applyFill="1" applyBorder="1" applyAlignment="1">
      <alignment horizontal="right" vertical="center"/>
    </xf>
    <xf numFmtId="2" fontId="6" fillId="6" borderId="11" xfId="0" applyNumberFormat="1" applyFont="1" applyFill="1" applyBorder="1" applyAlignment="1">
      <alignment vertical="center" wrapText="1"/>
    </xf>
    <xf numFmtId="0" fontId="11" fillId="0" borderId="0" xfId="0" applyFont="1" applyBorder="1" applyAlignment="1"/>
    <xf numFmtId="3" fontId="11" fillId="0" borderId="0" xfId="0" applyNumberFormat="1" applyFont="1" applyBorder="1" applyAlignment="1"/>
    <xf numFmtId="4" fontId="11" fillId="0" borderId="0" xfId="0" applyNumberFormat="1" applyFont="1" applyBorder="1" applyAlignment="1"/>
    <xf numFmtId="2" fontId="6" fillId="6" borderId="16" xfId="0" applyNumberFormat="1" applyFont="1" applyFill="1" applyBorder="1" applyAlignment="1">
      <alignment vertical="center"/>
    </xf>
    <xf numFmtId="0" fontId="9" fillId="6" borderId="7" xfId="0" applyFont="1" applyFill="1" applyBorder="1" applyAlignment="1"/>
    <xf numFmtId="2" fontId="6" fillId="3" borderId="1" xfId="0" applyNumberFormat="1" applyFont="1" applyFill="1" applyBorder="1" applyAlignment="1">
      <alignment vertical="center"/>
    </xf>
    <xf numFmtId="2" fontId="6" fillId="6" borderId="4" xfId="0" applyNumberFormat="1" applyFont="1" applyFill="1" applyBorder="1" applyAlignment="1">
      <alignment horizontal="left" vertical="center" wrapText="1"/>
    </xf>
    <xf numFmtId="3" fontId="6" fillId="6" borderId="2" xfId="0" applyNumberFormat="1" applyFont="1" applyFill="1" applyBorder="1" applyAlignment="1">
      <alignment vertical="center"/>
    </xf>
    <xf numFmtId="4" fontId="6" fillId="6" borderId="3" xfId="0" applyNumberFormat="1" applyFont="1" applyFill="1" applyBorder="1" applyAlignment="1">
      <alignment vertical="center"/>
    </xf>
    <xf numFmtId="1" fontId="10" fillId="0" borderId="0" xfId="0" applyNumberFormat="1" applyFont="1" applyAlignment="1">
      <alignment horizontal="right" vertical="center"/>
    </xf>
    <xf numFmtId="2" fontId="11" fillId="0" borderId="1" xfId="0" applyNumberFormat="1" applyFont="1" applyBorder="1" applyAlignment="1">
      <alignment vertical="center"/>
    </xf>
    <xf numFmtId="4" fontId="6" fillId="0" borderId="3" xfId="0" applyNumberFormat="1" applyFont="1" applyFill="1" applyBorder="1" applyAlignment="1">
      <alignment horizontal="right" vertical="center"/>
    </xf>
    <xf numFmtId="0" fontId="11" fillId="0" borderId="0" xfId="0" applyFont="1" applyAlignment="1"/>
    <xf numFmtId="3" fontId="11" fillId="11" borderId="4" xfId="0" applyNumberFormat="1" applyFont="1" applyFill="1" applyBorder="1" applyAlignment="1">
      <alignment horizontal="right" vertical="center"/>
    </xf>
    <xf numFmtId="2" fontId="6" fillId="0" borderId="2" xfId="0" applyNumberFormat="1" applyFont="1" applyBorder="1" applyAlignment="1">
      <alignment vertical="center"/>
    </xf>
    <xf numFmtId="3" fontId="6" fillId="0" borderId="2" xfId="0" applyNumberFormat="1" applyFont="1" applyBorder="1" applyAlignment="1">
      <alignment horizontal="right" vertical="center"/>
    </xf>
    <xf numFmtId="4" fontId="6" fillId="0" borderId="2" xfId="0" applyNumberFormat="1" applyFont="1" applyBorder="1" applyAlignment="1">
      <alignment horizontal="right" vertical="center"/>
    </xf>
    <xf numFmtId="2" fontId="6" fillId="0" borderId="4" xfId="0" applyNumberFormat="1" applyFont="1" applyBorder="1" applyAlignment="1">
      <alignment vertical="center" wrapText="1"/>
    </xf>
    <xf numFmtId="3" fontId="6" fillId="0" borderId="4" xfId="0" applyNumberFormat="1" applyFont="1" applyFill="1" applyBorder="1" applyAlignment="1">
      <alignment horizontal="right" vertical="center"/>
    </xf>
    <xf numFmtId="3" fontId="6" fillId="11" borderId="4" xfId="0" applyNumberFormat="1" applyFont="1" applyFill="1" applyBorder="1" applyAlignment="1">
      <alignment horizontal="right" vertical="center"/>
    </xf>
    <xf numFmtId="2" fontId="17" fillId="0" borderId="7" xfId="0" applyNumberFormat="1" applyFont="1" applyBorder="1" applyAlignment="1">
      <alignment vertical="center"/>
    </xf>
    <xf numFmtId="3" fontId="17" fillId="0" borderId="7" xfId="0" applyNumberFormat="1" applyFont="1" applyBorder="1" applyAlignment="1">
      <alignment vertical="center"/>
    </xf>
    <xf numFmtId="3" fontId="17" fillId="0" borderId="7" xfId="0" applyNumberFormat="1" applyFont="1" applyBorder="1" applyAlignment="1">
      <alignment horizontal="right" vertical="center"/>
    </xf>
    <xf numFmtId="2" fontId="6" fillId="0" borderId="4" xfId="0" applyNumberFormat="1" applyFont="1" applyBorder="1" applyAlignment="1">
      <alignment vertical="center"/>
    </xf>
    <xf numFmtId="2" fontId="12" fillId="5" borderId="1" xfId="0" applyNumberFormat="1" applyFont="1" applyFill="1" applyBorder="1" applyAlignment="1">
      <alignment horizontal="left" vertical="center"/>
    </xf>
    <xf numFmtId="3" fontId="9" fillId="6" borderId="2" xfId="0" applyNumberFormat="1" applyFont="1" applyFill="1" applyBorder="1"/>
    <xf numFmtId="4" fontId="9" fillId="6" borderId="3" xfId="0" applyNumberFormat="1" applyFont="1" applyFill="1" applyBorder="1"/>
    <xf numFmtId="164" fontId="11" fillId="0" borderId="2" xfId="0" applyNumberFormat="1" applyFont="1" applyBorder="1" applyAlignment="1">
      <alignment vertical="center" wrapText="1"/>
    </xf>
    <xf numFmtId="4" fontId="6" fillId="0" borderId="12" xfId="0" applyNumberFormat="1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164" fontId="11" fillId="0" borderId="13" xfId="0" applyNumberFormat="1" applyFont="1" applyBorder="1" applyAlignment="1">
      <alignment vertical="center" wrapText="1"/>
    </xf>
    <xf numFmtId="3" fontId="11" fillId="0" borderId="14" xfId="0" applyNumberFormat="1" applyFont="1" applyBorder="1" applyAlignment="1">
      <alignment vertical="center"/>
    </xf>
    <xf numFmtId="3" fontId="11" fillId="0" borderId="14" xfId="0" applyNumberFormat="1" applyFont="1" applyBorder="1" applyAlignment="1">
      <alignment horizontal="right" vertical="center"/>
    </xf>
    <xf numFmtId="2" fontId="6" fillId="6" borderId="1" xfId="0" applyNumberFormat="1" applyFont="1" applyFill="1" applyBorder="1" applyAlignment="1">
      <alignment horizontal="left" vertical="center"/>
    </xf>
    <xf numFmtId="0" fontId="11" fillId="0" borderId="2" xfId="0" applyFont="1" applyBorder="1" applyAlignment="1"/>
    <xf numFmtId="3" fontId="9" fillId="0" borderId="2" xfId="0" applyNumberFormat="1" applyFont="1" applyBorder="1" applyAlignment="1"/>
    <xf numFmtId="3" fontId="11" fillId="0" borderId="0" xfId="0" applyNumberFormat="1" applyFont="1" applyAlignment="1"/>
    <xf numFmtId="4" fontId="11" fillId="0" borderId="0" xfId="0" applyNumberFormat="1" applyFont="1" applyAlignment="1"/>
    <xf numFmtId="4" fontId="6" fillId="2" borderId="0" xfId="0" applyNumberFormat="1" applyFont="1" applyFill="1" applyBorder="1" applyAlignment="1">
      <alignment horizontal="right" vertical="center"/>
    </xf>
    <xf numFmtId="2" fontId="11" fillId="0" borderId="4" xfId="0" applyNumberFormat="1" applyFont="1" applyFill="1" applyBorder="1" applyAlignment="1">
      <alignment vertical="center" wrapText="1"/>
    </xf>
    <xf numFmtId="2" fontId="18" fillId="0" borderId="0" xfId="0" applyNumberFormat="1" applyFont="1" applyAlignment="1">
      <alignment horizontal="right" vertical="center"/>
    </xf>
    <xf numFmtId="2" fontId="10" fillId="0" borderId="0" xfId="0" applyNumberFormat="1" applyFont="1" applyAlignment="1">
      <alignment vertical="center"/>
    </xf>
    <xf numFmtId="2" fontId="19" fillId="0" borderId="0" xfId="0" applyNumberFormat="1" applyFont="1" applyAlignment="1">
      <alignment horizontal="right" vertical="center"/>
    </xf>
    <xf numFmtId="3" fontId="6" fillId="6" borderId="2" xfId="0" applyNumberFormat="1" applyFont="1" applyFill="1" applyBorder="1" applyAlignment="1">
      <alignment horizontal="left" vertical="center"/>
    </xf>
    <xf numFmtId="4" fontId="6" fillId="6" borderId="3" xfId="0" applyNumberFormat="1" applyFont="1" applyFill="1" applyBorder="1" applyAlignment="1">
      <alignment horizontal="left" vertical="center"/>
    </xf>
    <xf numFmtId="3" fontId="12" fillId="7" borderId="2" xfId="0" applyNumberFormat="1" applyFont="1" applyFill="1" applyBorder="1" applyAlignment="1">
      <alignment vertical="center"/>
    </xf>
    <xf numFmtId="4" fontId="12" fillId="7" borderId="3" xfId="0" applyNumberFormat="1" applyFont="1" applyFill="1" applyBorder="1" applyAlignment="1">
      <alignment vertical="center"/>
    </xf>
    <xf numFmtId="2" fontId="11" fillId="0" borderId="5" xfId="0" applyNumberFormat="1" applyFont="1" applyBorder="1" applyAlignment="1">
      <alignment vertical="center" wrapText="1"/>
    </xf>
    <xf numFmtId="4" fontId="6" fillId="0" borderId="5" xfId="0" applyNumberFormat="1" applyFont="1" applyFill="1" applyBorder="1" applyAlignment="1">
      <alignment horizontal="right" vertical="center"/>
    </xf>
    <xf numFmtId="2" fontId="6" fillId="6" borderId="5" xfId="0" applyNumberFormat="1" applyFont="1" applyFill="1" applyBorder="1" applyAlignment="1">
      <alignment vertical="center" wrapText="1"/>
    </xf>
    <xf numFmtId="3" fontId="6" fillId="6" borderId="5" xfId="0" applyNumberFormat="1" applyFont="1" applyFill="1" applyBorder="1" applyAlignment="1">
      <alignment horizontal="right" vertical="center"/>
    </xf>
    <xf numFmtId="4" fontId="6" fillId="6" borderId="5" xfId="0" applyNumberFormat="1" applyFont="1" applyFill="1" applyBorder="1" applyAlignment="1">
      <alignment horizontal="right" vertical="center"/>
    </xf>
    <xf numFmtId="2" fontId="11" fillId="0" borderId="2" xfId="0" applyNumberFormat="1" applyFont="1" applyBorder="1" applyAlignment="1">
      <alignment vertical="center"/>
    </xf>
    <xf numFmtId="0" fontId="11" fillId="0" borderId="4" xfId="0" applyFont="1" applyBorder="1" applyAlignment="1">
      <alignment vertical="center" wrapText="1"/>
    </xf>
    <xf numFmtId="2" fontId="12" fillId="7" borderId="17" xfId="0" applyNumberFormat="1" applyFont="1" applyFill="1" applyBorder="1" applyAlignment="1">
      <alignment vertical="center"/>
    </xf>
    <xf numFmtId="3" fontId="12" fillId="7" borderId="6" xfId="0" applyNumberFormat="1" applyFont="1" applyFill="1" applyBorder="1" applyAlignment="1">
      <alignment vertical="center"/>
    </xf>
    <xf numFmtId="4" fontId="12" fillId="7" borderId="8" xfId="0" applyNumberFormat="1" applyFont="1" applyFill="1" applyBorder="1" applyAlignment="1">
      <alignment vertical="center"/>
    </xf>
    <xf numFmtId="2" fontId="6" fillId="0" borderId="11" xfId="0" applyNumberFormat="1" applyFont="1" applyBorder="1" applyAlignment="1">
      <alignment vertical="center" wrapText="1"/>
    </xf>
    <xf numFmtId="3" fontId="6" fillId="0" borderId="11" xfId="0" applyNumberFormat="1" applyFont="1" applyFill="1" applyBorder="1" applyAlignment="1">
      <alignment horizontal="right" vertical="center"/>
    </xf>
    <xf numFmtId="2" fontId="7" fillId="0" borderId="0" xfId="0" applyNumberFormat="1" applyFont="1" applyAlignment="1">
      <alignment vertical="center"/>
    </xf>
    <xf numFmtId="2" fontId="6" fillId="0" borderId="11" xfId="0" applyNumberFormat="1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164" fontId="7" fillId="0" borderId="0" xfId="0" applyNumberFormat="1" applyFont="1" applyFill="1" applyBorder="1" applyAlignment="1">
      <alignment horizontal="right" vertical="center"/>
    </xf>
    <xf numFmtId="2" fontId="6" fillId="0" borderId="0" xfId="0" applyNumberFormat="1" applyFont="1" applyBorder="1" applyAlignment="1">
      <alignment vertical="center" wrapText="1"/>
    </xf>
    <xf numFmtId="3" fontId="6" fillId="0" borderId="0" xfId="0" applyNumberFormat="1" applyFont="1" applyFill="1" applyBorder="1" applyAlignment="1">
      <alignment horizontal="right" vertical="center"/>
    </xf>
    <xf numFmtId="4" fontId="6" fillId="0" borderId="0" xfId="0" applyNumberFormat="1" applyFont="1" applyFill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8" fillId="0" borderId="0" xfId="0" applyFont="1" applyBorder="1" applyAlignment="1"/>
    <xf numFmtId="2" fontId="6" fillId="8" borderId="11" xfId="0" applyNumberFormat="1" applyFont="1" applyFill="1" applyBorder="1" applyAlignment="1">
      <alignment horizontal="left" vertical="center"/>
    </xf>
    <xf numFmtId="3" fontId="6" fillId="8" borderId="11" xfId="0" applyNumberFormat="1" applyFont="1" applyFill="1" applyBorder="1" applyAlignment="1">
      <alignment horizontal="center" vertical="center"/>
    </xf>
    <xf numFmtId="165" fontId="6" fillId="6" borderId="4" xfId="0" applyNumberFormat="1" applyFont="1" applyFill="1" applyBorder="1" applyAlignment="1">
      <alignment horizontal="right" vertical="center"/>
    </xf>
    <xf numFmtId="4" fontId="11" fillId="0" borderId="4" xfId="0" applyNumberFormat="1" applyFont="1" applyFill="1" applyBorder="1" applyAlignment="1">
      <alignment horizontal="right" vertical="center"/>
    </xf>
    <xf numFmtId="165" fontId="6" fillId="4" borderId="11" xfId="0" applyNumberFormat="1" applyFont="1" applyFill="1" applyBorder="1" applyAlignment="1">
      <alignment horizontal="center" vertical="center"/>
    </xf>
    <xf numFmtId="165" fontId="9" fillId="8" borderId="7" xfId="0" applyNumberFormat="1" applyFont="1" applyFill="1" applyBorder="1" applyAlignment="1"/>
    <xf numFmtId="165" fontId="11" fillId="2" borderId="2" xfId="0" applyNumberFormat="1" applyFont="1" applyFill="1" applyBorder="1" applyAlignment="1">
      <alignment vertical="center"/>
    </xf>
    <xf numFmtId="165" fontId="9" fillId="6" borderId="2" xfId="0" applyNumberFormat="1" applyFont="1" applyFill="1" applyBorder="1" applyAlignment="1"/>
    <xf numFmtId="165" fontId="6" fillId="0" borderId="4" xfId="0" applyNumberFormat="1" applyFont="1" applyFill="1" applyBorder="1" applyAlignment="1">
      <alignment horizontal="right" vertical="center"/>
    </xf>
    <xf numFmtId="165" fontId="11" fillId="0" borderId="2" xfId="0" applyNumberFormat="1" applyFont="1" applyBorder="1" applyAlignment="1">
      <alignment horizontal="right" vertical="center"/>
    </xf>
    <xf numFmtId="165" fontId="12" fillId="5" borderId="2" xfId="0" applyNumberFormat="1" applyFont="1" applyFill="1" applyBorder="1" applyAlignment="1">
      <alignment vertical="center"/>
    </xf>
    <xf numFmtId="165" fontId="11" fillId="0" borderId="6" xfId="0" applyNumberFormat="1" applyFont="1" applyBorder="1" applyAlignment="1">
      <alignment horizontal="right" vertical="center"/>
    </xf>
    <xf numFmtId="165" fontId="11" fillId="0" borderId="2" xfId="0" applyNumberFormat="1" applyFont="1" applyFill="1" applyBorder="1" applyAlignment="1">
      <alignment horizontal="right" vertical="center"/>
    </xf>
    <xf numFmtId="165" fontId="6" fillId="0" borderId="11" xfId="0" applyNumberFormat="1" applyFont="1" applyFill="1" applyBorder="1" applyAlignment="1">
      <alignment horizontal="right" vertical="center"/>
    </xf>
    <xf numFmtId="165" fontId="6" fillId="6" borderId="11" xfId="0" applyNumberFormat="1" applyFont="1" applyFill="1" applyBorder="1" applyAlignment="1">
      <alignment horizontal="right" vertical="center"/>
    </xf>
    <xf numFmtId="165" fontId="11" fillId="0" borderId="0" xfId="0" applyNumberFormat="1" applyFont="1" applyBorder="1" applyAlignment="1">
      <alignment horizontal="right" vertical="center"/>
    </xf>
    <xf numFmtId="165" fontId="11" fillId="0" borderId="7" xfId="0" applyNumberFormat="1" applyFont="1" applyBorder="1" applyAlignment="1">
      <alignment horizontal="right" vertical="center"/>
    </xf>
    <xf numFmtId="165" fontId="9" fillId="8" borderId="2" xfId="0" applyNumberFormat="1" applyFont="1" applyFill="1" applyBorder="1" applyAlignment="1"/>
    <xf numFmtId="165" fontId="9" fillId="0" borderId="2" xfId="0" applyNumberFormat="1" applyFont="1" applyBorder="1" applyAlignment="1"/>
    <xf numFmtId="165" fontId="15" fillId="0" borderId="2" xfId="0" applyNumberFormat="1" applyFont="1" applyBorder="1" applyAlignment="1">
      <alignment horizontal="right" vertical="center"/>
    </xf>
    <xf numFmtId="165" fontId="6" fillId="0" borderId="10" xfId="0" applyNumberFormat="1" applyFont="1" applyFill="1" applyBorder="1" applyAlignment="1">
      <alignment horizontal="right" vertical="center"/>
    </xf>
    <xf numFmtId="165" fontId="11" fillId="0" borderId="0" xfId="0" applyNumberFormat="1" applyFont="1" applyBorder="1" applyAlignment="1"/>
    <xf numFmtId="165" fontId="9" fillId="6" borderId="7" xfId="0" applyNumberFormat="1" applyFont="1" applyFill="1" applyBorder="1" applyAlignment="1"/>
    <xf numFmtId="165" fontId="6" fillId="6" borderId="2" xfId="0" applyNumberFormat="1" applyFont="1" applyFill="1" applyBorder="1" applyAlignment="1">
      <alignment vertical="center"/>
    </xf>
    <xf numFmtId="165" fontId="6" fillId="0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165" fontId="17" fillId="0" borderId="7" xfId="0" applyNumberFormat="1" applyFont="1" applyBorder="1" applyAlignment="1">
      <alignment horizontal="right" vertical="center"/>
    </xf>
    <xf numFmtId="165" fontId="9" fillId="6" borderId="2" xfId="0" applyNumberFormat="1" applyFont="1" applyFill="1" applyBorder="1"/>
    <xf numFmtId="165" fontId="11" fillId="0" borderId="0" xfId="0" applyNumberFormat="1" applyFont="1" applyAlignment="1"/>
    <xf numFmtId="165" fontId="9" fillId="6" borderId="3" xfId="0" applyNumberFormat="1" applyFont="1" applyFill="1" applyBorder="1" applyAlignment="1"/>
    <xf numFmtId="165" fontId="6" fillId="6" borderId="2" xfId="0" applyNumberFormat="1" applyFont="1" applyFill="1" applyBorder="1" applyAlignment="1">
      <alignment horizontal="left" vertical="center"/>
    </xf>
    <xf numFmtId="165" fontId="12" fillId="7" borderId="2" xfId="0" applyNumberFormat="1" applyFont="1" applyFill="1" applyBorder="1" applyAlignment="1">
      <alignment vertical="center"/>
    </xf>
    <xf numFmtId="165" fontId="6" fillId="0" borderId="5" xfId="0" applyNumberFormat="1" applyFont="1" applyFill="1" applyBorder="1" applyAlignment="1">
      <alignment horizontal="right" vertical="center"/>
    </xf>
    <xf numFmtId="165" fontId="6" fillId="6" borderId="5" xfId="0" applyNumberFormat="1" applyFont="1" applyFill="1" applyBorder="1" applyAlignment="1">
      <alignment horizontal="right" vertical="center"/>
    </xf>
    <xf numFmtId="165" fontId="12" fillId="7" borderId="6" xfId="0" applyNumberFormat="1" applyFont="1" applyFill="1" applyBorder="1" applyAlignment="1">
      <alignment vertical="center"/>
    </xf>
    <xf numFmtId="165" fontId="6" fillId="0" borderId="0" xfId="0" applyNumberFormat="1" applyFont="1" applyFill="1" applyBorder="1" applyAlignment="1">
      <alignment horizontal="right" vertical="center"/>
    </xf>
    <xf numFmtId="10" fontId="11" fillId="0" borderId="11" xfId="1" applyNumberFormat="1" applyFont="1" applyFill="1" applyBorder="1" applyAlignment="1">
      <alignment horizontal="right" vertical="center"/>
    </xf>
    <xf numFmtId="10" fontId="6" fillId="6" borderId="11" xfId="1" applyNumberFormat="1" applyFont="1" applyFill="1" applyBorder="1" applyAlignment="1">
      <alignment horizontal="right" vertical="center"/>
    </xf>
    <xf numFmtId="2" fontId="11" fillId="0" borderId="18" xfId="0" applyNumberFormat="1" applyFont="1" applyBorder="1" applyAlignment="1">
      <alignment horizontal="left" vertical="center" wrapText="1"/>
    </xf>
    <xf numFmtId="10" fontId="11" fillId="0" borderId="18" xfId="1" applyNumberFormat="1" applyFont="1" applyFill="1" applyBorder="1" applyAlignment="1">
      <alignment horizontal="right" vertical="center"/>
    </xf>
    <xf numFmtId="165" fontId="6" fillId="0" borderId="18" xfId="0" applyNumberFormat="1" applyFont="1" applyFill="1" applyBorder="1" applyAlignment="1">
      <alignment horizontal="right" vertical="center"/>
    </xf>
    <xf numFmtId="2" fontId="12" fillId="5" borderId="19" xfId="0" applyNumberFormat="1" applyFont="1" applyFill="1" applyBorder="1" applyAlignment="1">
      <alignment vertical="center"/>
    </xf>
    <xf numFmtId="3" fontId="9" fillId="6" borderId="20" xfId="0" applyNumberFormat="1" applyFont="1" applyFill="1" applyBorder="1" applyAlignment="1"/>
    <xf numFmtId="165" fontId="9" fillId="6" borderId="20" xfId="0" applyNumberFormat="1" applyFont="1" applyFill="1" applyBorder="1" applyAlignment="1"/>
    <xf numFmtId="4" fontId="9" fillId="6" borderId="21" xfId="0" applyNumberFormat="1" applyFont="1" applyFill="1" applyBorder="1" applyAlignment="1"/>
    <xf numFmtId="2" fontId="12" fillId="4" borderId="19" xfId="0" applyNumberFormat="1" applyFont="1" applyFill="1" applyBorder="1" applyAlignment="1">
      <alignment vertical="center"/>
    </xf>
    <xf numFmtId="3" fontId="9" fillId="10" borderId="20" xfId="0" applyNumberFormat="1" applyFont="1" applyFill="1" applyBorder="1" applyAlignment="1"/>
    <xf numFmtId="165" fontId="9" fillId="10" borderId="20" xfId="0" applyNumberFormat="1" applyFont="1" applyFill="1" applyBorder="1" applyAlignment="1"/>
    <xf numFmtId="4" fontId="9" fillId="10" borderId="21" xfId="0" applyNumberFormat="1" applyFont="1" applyFill="1" applyBorder="1" applyAlignment="1"/>
    <xf numFmtId="4" fontId="6" fillId="6" borderId="4" xfId="1" applyNumberFormat="1" applyFont="1" applyFill="1" applyBorder="1" applyAlignment="1">
      <alignment horizontal="right" vertical="center"/>
    </xf>
    <xf numFmtId="10" fontId="11" fillId="0" borderId="4" xfId="1" applyNumberFormat="1" applyFont="1" applyFill="1" applyBorder="1" applyAlignment="1">
      <alignment horizontal="right" vertical="center"/>
    </xf>
    <xf numFmtId="10" fontId="6" fillId="6" borderId="4" xfId="1" applyNumberFormat="1" applyFont="1" applyFill="1" applyBorder="1" applyAlignment="1">
      <alignment horizontal="right" vertical="center"/>
    </xf>
    <xf numFmtId="2" fontId="12" fillId="5" borderId="20" xfId="0" applyNumberFormat="1" applyFont="1" applyFill="1" applyBorder="1" applyAlignment="1">
      <alignment vertical="center"/>
    </xf>
    <xf numFmtId="2" fontId="6" fillId="0" borderId="19" xfId="0" applyNumberFormat="1" applyFont="1" applyBorder="1" applyAlignment="1">
      <alignment vertical="center"/>
    </xf>
    <xf numFmtId="0" fontId="9" fillId="0" borderId="20" xfId="0" applyFont="1" applyBorder="1" applyAlignment="1"/>
    <xf numFmtId="165" fontId="9" fillId="0" borderId="20" xfId="0" applyNumberFormat="1" applyFont="1" applyBorder="1" applyAlignment="1"/>
    <xf numFmtId="0" fontId="9" fillId="6" borderId="20" xfId="0" applyFont="1" applyFill="1" applyBorder="1" applyAlignment="1"/>
    <xf numFmtId="165" fontId="6" fillId="0" borderId="3" xfId="0" applyNumberFormat="1" applyFont="1" applyFill="1" applyBorder="1" applyAlignment="1">
      <alignment horizontal="right" vertical="center"/>
    </xf>
    <xf numFmtId="3" fontId="6" fillId="6" borderId="6" xfId="0" applyNumberFormat="1" applyFont="1" applyFill="1" applyBorder="1" applyAlignment="1">
      <alignment vertical="center"/>
    </xf>
    <xf numFmtId="2" fontId="11" fillId="0" borderId="10" xfId="0" applyNumberFormat="1" applyFont="1" applyBorder="1" applyAlignment="1">
      <alignment horizontal="left" vertical="center" wrapText="1"/>
    </xf>
    <xf numFmtId="2" fontId="6" fillId="0" borderId="7" xfId="0" applyNumberFormat="1" applyFont="1" applyBorder="1" applyAlignment="1">
      <alignment vertical="center"/>
    </xf>
    <xf numFmtId="2" fontId="6" fillId="6" borderId="11" xfId="0" applyNumberFormat="1" applyFont="1" applyFill="1" applyBorder="1" applyAlignment="1">
      <alignment horizontal="left" vertical="center" wrapText="1"/>
    </xf>
    <xf numFmtId="2" fontId="6" fillId="6" borderId="19" xfId="0" applyNumberFormat="1" applyFont="1" applyFill="1" applyBorder="1" applyAlignment="1">
      <alignment vertical="center"/>
    </xf>
    <xf numFmtId="2" fontId="6" fillId="6" borderId="20" xfId="0" applyNumberFormat="1" applyFont="1" applyFill="1" applyBorder="1" applyAlignment="1">
      <alignment vertical="center"/>
    </xf>
    <xf numFmtId="2" fontId="6" fillId="6" borderId="17" xfId="0" applyNumberFormat="1" applyFont="1" applyFill="1" applyBorder="1" applyAlignment="1">
      <alignment vertical="center"/>
    </xf>
    <xf numFmtId="165" fontId="6" fillId="6" borderId="6" xfId="0" applyNumberFormat="1" applyFont="1" applyFill="1" applyBorder="1" applyAlignment="1">
      <alignment vertical="center"/>
    </xf>
    <xf numFmtId="4" fontId="6" fillId="6" borderId="8" xfId="0" applyNumberFormat="1" applyFont="1" applyFill="1" applyBorder="1" applyAlignment="1">
      <alignment vertical="center"/>
    </xf>
    <xf numFmtId="2" fontId="12" fillId="7" borderId="19" xfId="0" applyNumberFormat="1" applyFont="1" applyFill="1" applyBorder="1" applyAlignment="1">
      <alignment vertical="center"/>
    </xf>
    <xf numFmtId="3" fontId="12" fillId="7" borderId="20" xfId="0" applyNumberFormat="1" applyFont="1" applyFill="1" applyBorder="1" applyAlignment="1">
      <alignment vertical="center"/>
    </xf>
    <xf numFmtId="165" fontId="12" fillId="7" borderId="20" xfId="0" applyNumberFormat="1" applyFont="1" applyFill="1" applyBorder="1" applyAlignment="1">
      <alignment vertical="center"/>
    </xf>
    <xf numFmtId="4" fontId="12" fillId="7" borderId="21" xfId="0" applyNumberFormat="1" applyFont="1" applyFill="1" applyBorder="1" applyAlignment="1">
      <alignment vertical="center"/>
    </xf>
    <xf numFmtId="2" fontId="6" fillId="11" borderId="2" xfId="0" applyNumberFormat="1" applyFont="1" applyFill="1" applyBorder="1" applyAlignment="1">
      <alignment vertical="center"/>
    </xf>
    <xf numFmtId="4" fontId="6" fillId="11" borderId="2" xfId="0" applyNumberFormat="1" applyFont="1" applyFill="1" applyBorder="1" applyAlignment="1">
      <alignment horizontal="right" vertical="center"/>
    </xf>
    <xf numFmtId="3" fontId="6" fillId="11" borderId="2" xfId="0" applyNumberFormat="1" applyFont="1" applyFill="1" applyBorder="1" applyAlignment="1">
      <alignment horizontal="right" vertical="center"/>
    </xf>
    <xf numFmtId="165" fontId="6" fillId="11" borderId="2" xfId="0" applyNumberFormat="1" applyFont="1" applyFill="1" applyBorder="1" applyAlignment="1">
      <alignment horizontal="right" vertical="center"/>
    </xf>
    <xf numFmtId="0" fontId="8" fillId="11" borderId="0" xfId="0" applyFont="1" applyFill="1" applyAlignment="1"/>
    <xf numFmtId="10" fontId="6" fillId="0" borderId="18" xfId="1" applyNumberFormat="1" applyFont="1" applyFill="1" applyBorder="1" applyAlignment="1">
      <alignment horizontal="right" vertical="center"/>
    </xf>
    <xf numFmtId="10" fontId="6" fillId="0" borderId="4" xfId="1" applyNumberFormat="1" applyFont="1" applyFill="1" applyBorder="1" applyAlignment="1">
      <alignment horizontal="right" vertical="center"/>
    </xf>
    <xf numFmtId="2" fontId="6" fillId="0" borderId="11" xfId="1" applyNumberFormat="1" applyFont="1" applyFill="1" applyBorder="1" applyAlignment="1">
      <alignment horizontal="right" vertical="center"/>
    </xf>
    <xf numFmtId="10" fontId="6" fillId="0" borderId="11" xfId="1" applyNumberFormat="1" applyFont="1" applyFill="1" applyBorder="1" applyAlignment="1">
      <alignment horizontal="right" vertical="center"/>
    </xf>
    <xf numFmtId="3" fontId="6" fillId="8" borderId="11" xfId="0" applyNumberFormat="1" applyFont="1" applyFill="1" applyBorder="1" applyAlignment="1">
      <alignment horizontal="right" vertical="center"/>
    </xf>
    <xf numFmtId="0" fontId="0" fillId="8" borderId="25" xfId="0" applyFont="1" applyFill="1" applyBorder="1" applyAlignment="1"/>
    <xf numFmtId="0" fontId="0" fillId="8" borderId="26" xfId="0" applyFont="1" applyFill="1" applyBorder="1" applyAlignment="1"/>
    <xf numFmtId="0" fontId="0" fillId="8" borderId="27" xfId="0" applyFont="1" applyFill="1" applyBorder="1" applyAlignment="1"/>
    <xf numFmtId="0" fontId="0" fillId="8" borderId="28" xfId="0" applyFont="1" applyFill="1" applyBorder="1" applyAlignment="1"/>
    <xf numFmtId="0" fontId="0" fillId="8" borderId="0" xfId="0" applyFont="1" applyFill="1" applyBorder="1" applyAlignment="1"/>
    <xf numFmtId="0" fontId="0" fillId="8" borderId="29" xfId="0" applyFont="1" applyFill="1" applyBorder="1" applyAlignment="1"/>
    <xf numFmtId="0" fontId="0" fillId="8" borderId="30" xfId="0" applyFont="1" applyFill="1" applyBorder="1" applyAlignment="1"/>
    <xf numFmtId="0" fontId="0" fillId="8" borderId="31" xfId="0" applyFont="1" applyFill="1" applyBorder="1" applyAlignment="1"/>
    <xf numFmtId="0" fontId="0" fillId="8" borderId="32" xfId="0" applyFont="1" applyFill="1" applyBorder="1" applyAlignment="1"/>
    <xf numFmtId="2" fontId="11" fillId="11" borderId="22" xfId="0" applyNumberFormat="1" applyFont="1" applyFill="1" applyBorder="1" applyAlignment="1">
      <alignment vertical="center" wrapText="1"/>
    </xf>
    <xf numFmtId="2" fontId="11" fillId="11" borderId="23" xfId="0" applyNumberFormat="1" applyFont="1" applyFill="1" applyBorder="1" applyAlignment="1">
      <alignment vertical="center" wrapText="1"/>
    </xf>
    <xf numFmtId="0" fontId="11" fillId="11" borderId="19" xfId="0" applyFont="1" applyFill="1" applyBorder="1" applyAlignment="1">
      <alignment wrapText="1"/>
    </xf>
    <xf numFmtId="2" fontId="11" fillId="11" borderId="19" xfId="0" applyNumberFormat="1" applyFont="1" applyFill="1" applyBorder="1" applyAlignment="1">
      <alignment vertical="center" wrapText="1"/>
    </xf>
    <xf numFmtId="2" fontId="11" fillId="11" borderId="24" xfId="0" applyNumberFormat="1" applyFont="1" applyFill="1" applyBorder="1" applyAlignment="1">
      <alignment vertical="center" wrapText="1"/>
    </xf>
    <xf numFmtId="2" fontId="13" fillId="11" borderId="22" xfId="0" applyNumberFormat="1" applyFont="1" applyFill="1" applyBorder="1" applyAlignment="1">
      <alignment vertical="center" wrapText="1"/>
    </xf>
    <xf numFmtId="2" fontId="11" fillId="11" borderId="15" xfId="0" applyNumberFormat="1" applyFont="1" applyFill="1" applyBorder="1" applyAlignment="1">
      <alignment vertical="center" wrapText="1"/>
    </xf>
    <xf numFmtId="2" fontId="11" fillId="11" borderId="4" xfId="0" applyNumberFormat="1" applyFont="1" applyFill="1" applyBorder="1" applyAlignment="1">
      <alignment vertical="center" wrapText="1"/>
    </xf>
    <xf numFmtId="165" fontId="6" fillId="11" borderId="4" xfId="0" applyNumberFormat="1" applyFont="1" applyFill="1" applyBorder="1" applyAlignment="1">
      <alignment horizontal="right" vertical="center"/>
    </xf>
    <xf numFmtId="4" fontId="6" fillId="11" borderId="4" xfId="0" applyNumberFormat="1" applyFont="1" applyFill="1" applyBorder="1" applyAlignment="1">
      <alignment horizontal="right" vertical="center"/>
    </xf>
    <xf numFmtId="2" fontId="7" fillId="11" borderId="0" xfId="0" applyNumberFormat="1" applyFont="1" applyFill="1" applyAlignment="1">
      <alignment horizontal="right" vertical="center"/>
    </xf>
    <xf numFmtId="166" fontId="6" fillId="11" borderId="11" xfId="2" applyNumberFormat="1" applyFont="1" applyFill="1" applyBorder="1" applyAlignment="1" applyProtection="1">
      <alignment horizontal="right" vertical="center"/>
      <protection locked="0"/>
    </xf>
    <xf numFmtId="2" fontId="10" fillId="11" borderId="0" xfId="0" applyNumberFormat="1" applyFont="1" applyFill="1" applyAlignment="1">
      <alignment horizontal="right" vertical="center"/>
    </xf>
    <xf numFmtId="2" fontId="17" fillId="11" borderId="7" xfId="0" applyNumberFormat="1" applyFont="1" applyFill="1" applyBorder="1" applyAlignment="1">
      <alignment vertical="center"/>
    </xf>
    <xf numFmtId="3" fontId="17" fillId="11" borderId="7" xfId="0" applyNumberFormat="1" applyFont="1" applyFill="1" applyBorder="1" applyAlignment="1">
      <alignment vertical="center"/>
    </xf>
    <xf numFmtId="3" fontId="17" fillId="11" borderId="7" xfId="0" applyNumberFormat="1" applyFont="1" applyFill="1" applyBorder="1" applyAlignment="1">
      <alignment horizontal="right" vertical="center"/>
    </xf>
    <xf numFmtId="165" fontId="17" fillId="11" borderId="7" xfId="0" applyNumberFormat="1" applyFont="1" applyFill="1" applyBorder="1" applyAlignment="1">
      <alignment horizontal="right" vertical="center"/>
    </xf>
    <xf numFmtId="4" fontId="11" fillId="11" borderId="0" xfId="0" applyNumberFormat="1" applyFont="1" applyFill="1" applyAlignment="1">
      <alignment horizontal="right" vertical="center"/>
    </xf>
    <xf numFmtId="0" fontId="11" fillId="11" borderId="0" xfId="0" applyFont="1" applyFill="1" applyAlignment="1"/>
    <xf numFmtId="3" fontId="11" fillId="11" borderId="0" xfId="0" applyNumberFormat="1" applyFont="1" applyFill="1" applyAlignment="1"/>
    <xf numFmtId="165" fontId="11" fillId="11" borderId="0" xfId="0" applyNumberFormat="1" applyFont="1" applyFill="1" applyAlignment="1"/>
    <xf numFmtId="4" fontId="11" fillId="11" borderId="0" xfId="0" applyNumberFormat="1" applyFont="1" applyFill="1" applyAlignment="1"/>
    <xf numFmtId="0" fontId="7" fillId="11" borderId="0" xfId="0" applyFont="1" applyFill="1" applyAlignment="1">
      <alignment horizontal="right" vertical="center"/>
    </xf>
    <xf numFmtId="2" fontId="20" fillId="9" borderId="17" xfId="0" applyNumberFormat="1" applyFont="1" applyFill="1" applyBorder="1" applyAlignment="1">
      <alignment horizontal="left" vertical="center"/>
    </xf>
    <xf numFmtId="2" fontId="11" fillId="0" borderId="33" xfId="0" applyNumberFormat="1" applyFont="1" applyBorder="1" applyAlignment="1">
      <alignment horizontal="left" vertical="center" wrapText="1"/>
    </xf>
    <xf numFmtId="2" fontId="11" fillId="0" borderId="19" xfId="0" applyNumberFormat="1" applyFont="1" applyBorder="1" applyAlignment="1">
      <alignment horizontal="left" vertical="center" wrapText="1"/>
    </xf>
    <xf numFmtId="3" fontId="20" fillId="9" borderId="34" xfId="0" applyNumberFormat="1" applyFont="1" applyFill="1" applyBorder="1" applyAlignment="1">
      <alignment horizontal="center" vertical="center"/>
    </xf>
    <xf numFmtId="3" fontId="20" fillId="9" borderId="35" xfId="0" applyNumberFormat="1" applyFont="1" applyFill="1" applyBorder="1" applyAlignment="1">
      <alignment horizontal="center" vertical="center"/>
    </xf>
    <xf numFmtId="3" fontId="20" fillId="9" borderId="36" xfId="0" applyNumberFormat="1" applyFont="1" applyFill="1" applyBorder="1" applyAlignment="1">
      <alignment horizontal="center" vertical="center"/>
    </xf>
    <xf numFmtId="0" fontId="0" fillId="0" borderId="0" xfId="0" applyFont="1" applyBorder="1" applyAlignment="1"/>
    <xf numFmtId="0" fontId="0" fillId="0" borderId="0" xfId="0"/>
    <xf numFmtId="0" fontId="11" fillId="0" borderId="0" xfId="0" applyFont="1" applyBorder="1"/>
    <xf numFmtId="0" fontId="23" fillId="0" borderId="0" xfId="0" applyFont="1" applyAlignment="1"/>
    <xf numFmtId="0" fontId="23" fillId="0" borderId="0" xfId="0" applyFont="1" applyBorder="1" applyAlignment="1"/>
    <xf numFmtId="10" fontId="6" fillId="10" borderId="4" xfId="1" applyNumberFormat="1" applyFont="1" applyFill="1" applyBorder="1" applyAlignment="1">
      <alignment horizontal="right" vertical="center"/>
    </xf>
    <xf numFmtId="2" fontId="6" fillId="10" borderId="4" xfId="0" applyNumberFormat="1" applyFont="1" applyFill="1" applyBorder="1" applyAlignment="1">
      <alignment vertical="center"/>
    </xf>
    <xf numFmtId="2" fontId="11" fillId="0" borderId="5" xfId="0" applyNumberFormat="1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3" fontId="11" fillId="0" borderId="11" xfId="0" applyNumberFormat="1" applyFont="1" applyBorder="1"/>
    <xf numFmtId="3" fontId="11" fillId="0" borderId="0" xfId="0" applyNumberFormat="1" applyFont="1" applyBorder="1"/>
    <xf numFmtId="165" fontId="11" fillId="0" borderId="0" xfId="0" applyNumberFormat="1" applyFont="1" applyBorder="1"/>
    <xf numFmtId="2" fontId="12" fillId="6" borderId="11" xfId="0" applyNumberFormat="1" applyFont="1" applyFill="1" applyBorder="1" applyAlignment="1">
      <alignment vertical="center"/>
    </xf>
    <xf numFmtId="4" fontId="12" fillId="5" borderId="21" xfId="0" applyNumberFormat="1" applyFont="1" applyFill="1" applyBorder="1" applyAlignment="1">
      <alignment vertical="center"/>
    </xf>
    <xf numFmtId="4" fontId="9" fillId="6" borderId="9" xfId="0" applyNumberFormat="1" applyFont="1" applyFill="1" applyBorder="1" applyAlignment="1"/>
    <xf numFmtId="4" fontId="9" fillId="0" borderId="21" xfId="0" applyNumberFormat="1" applyFont="1" applyBorder="1" applyAlignment="1"/>
    <xf numFmtId="4" fontId="6" fillId="6" borderId="21" xfId="0" applyNumberFormat="1" applyFont="1" applyFill="1" applyBorder="1" applyAlignment="1">
      <alignment vertical="center"/>
    </xf>
    <xf numFmtId="4" fontId="15" fillId="0" borderId="0" xfId="0" applyNumberFormat="1" applyFont="1" applyAlignment="1">
      <alignment horizontal="right" vertical="center"/>
    </xf>
    <xf numFmtId="2" fontId="24" fillId="0" borderId="0" xfId="0" applyNumberFormat="1" applyFont="1" applyAlignment="1">
      <alignment horizontal="right" vertical="center"/>
    </xf>
    <xf numFmtId="0" fontId="25" fillId="0" borderId="0" xfId="0" applyFont="1" applyAlignment="1"/>
    <xf numFmtId="2" fontId="26" fillId="0" borderId="0" xfId="0" applyNumberFormat="1" applyFont="1" applyAlignment="1">
      <alignment horizontal="right" vertical="center"/>
    </xf>
    <xf numFmtId="2" fontId="11" fillId="11" borderId="4" xfId="0" applyNumberFormat="1" applyFont="1" applyFill="1" applyBorder="1" applyAlignment="1">
      <alignment vertical="center"/>
    </xf>
    <xf numFmtId="10" fontId="11" fillId="0" borderId="0" xfId="1" applyNumberFormat="1" applyFont="1" applyAlignment="1">
      <alignment horizontal="right" vertical="center"/>
    </xf>
    <xf numFmtId="0" fontId="29" fillId="0" borderId="0" xfId="0" applyFont="1" applyAlignment="1">
      <alignment horizontal="right"/>
    </xf>
    <xf numFmtId="0" fontId="27" fillId="0" borderId="0" xfId="0" applyFont="1" applyAlignment="1"/>
    <xf numFmtId="0" fontId="29" fillId="0" borderId="50" xfId="0" applyFont="1" applyBorder="1" applyAlignment="1">
      <alignment horizontal="right"/>
    </xf>
    <xf numFmtId="0" fontId="29" fillId="0" borderId="49" xfId="0" applyFont="1" applyBorder="1" applyAlignment="1">
      <alignment horizontal="right"/>
    </xf>
    <xf numFmtId="0" fontId="0" fillId="0" borderId="53" xfId="0" applyFont="1" applyBorder="1" applyAlignment="1"/>
    <xf numFmtId="0" fontId="29" fillId="0" borderId="54" xfId="0" applyFont="1" applyBorder="1" applyAlignment="1">
      <alignment horizontal="right"/>
    </xf>
    <xf numFmtId="0" fontId="0" fillId="0" borderId="48" xfId="0" applyFont="1" applyBorder="1" applyAlignment="1"/>
    <xf numFmtId="0" fontId="0" fillId="0" borderId="55" xfId="0" applyFont="1" applyBorder="1" applyAlignment="1"/>
    <xf numFmtId="0" fontId="29" fillId="0" borderId="0" xfId="0" applyFont="1" applyBorder="1" applyAlignment="1">
      <alignment horizontal="right"/>
    </xf>
    <xf numFmtId="0" fontId="29" fillId="0" borderId="51" xfId="0" applyFont="1" applyBorder="1" applyAlignment="1">
      <alignment horizontal="right"/>
    </xf>
    <xf numFmtId="0" fontId="23" fillId="0" borderId="53" xfId="0" applyFont="1" applyBorder="1" applyAlignment="1"/>
    <xf numFmtId="0" fontId="23" fillId="0" borderId="51" xfId="0" applyFont="1" applyBorder="1" applyAlignment="1">
      <alignment horizontal="left"/>
    </xf>
    <xf numFmtId="0" fontId="23" fillId="0" borderId="48" xfId="0" applyFont="1" applyBorder="1" applyAlignment="1"/>
    <xf numFmtId="0" fontId="29" fillId="0" borderId="57" xfId="0" applyFont="1" applyBorder="1" applyAlignment="1">
      <alignment horizontal="right"/>
    </xf>
    <xf numFmtId="0" fontId="29" fillId="0" borderId="58" xfId="0" applyFont="1" applyBorder="1" applyAlignment="1">
      <alignment horizontal="right"/>
    </xf>
    <xf numFmtId="0" fontId="29" fillId="0" borderId="56" xfId="0" applyFont="1" applyBorder="1" applyAlignment="1">
      <alignment horizontal="right"/>
    </xf>
    <xf numFmtId="3" fontId="11" fillId="0" borderId="16" xfId="0" applyNumberFormat="1" applyFont="1" applyFill="1" applyBorder="1" applyAlignment="1">
      <alignment horizontal="right" vertical="center"/>
    </xf>
    <xf numFmtId="3" fontId="11" fillId="0" borderId="1" xfId="0" applyNumberFormat="1" applyFont="1" applyFill="1" applyBorder="1" applyAlignment="1">
      <alignment horizontal="right" vertical="center"/>
    </xf>
    <xf numFmtId="3" fontId="12" fillId="5" borderId="6" xfId="0" applyNumberFormat="1" applyFont="1" applyFill="1" applyBorder="1" applyAlignment="1">
      <alignment vertical="center"/>
    </xf>
    <xf numFmtId="167" fontId="11" fillId="0" borderId="4" xfId="0" applyNumberFormat="1" applyFont="1" applyFill="1" applyBorder="1" applyAlignment="1">
      <alignment horizontal="right" vertical="center"/>
    </xf>
    <xf numFmtId="0" fontId="27" fillId="0" borderId="0" xfId="0" applyFont="1" applyAlignment="1">
      <alignment horizontal="center"/>
    </xf>
    <xf numFmtId="2" fontId="11" fillId="0" borderId="5" xfId="0" applyNumberFormat="1" applyFont="1" applyBorder="1" applyAlignment="1">
      <alignment horizontal="left" vertical="center"/>
    </xf>
    <xf numFmtId="3" fontId="6" fillId="9" borderId="20" xfId="0" applyNumberFormat="1" applyFont="1" applyFill="1" applyBorder="1" applyAlignment="1">
      <alignment horizontal="center" vertical="center"/>
    </xf>
    <xf numFmtId="2" fontId="6" fillId="0" borderId="33" xfId="0" applyNumberFormat="1" applyFont="1" applyBorder="1" applyAlignment="1">
      <alignment vertical="center"/>
    </xf>
    <xf numFmtId="2" fontId="6" fillId="0" borderId="62" xfId="0" applyNumberFormat="1" applyFont="1" applyBorder="1" applyAlignment="1">
      <alignment vertical="center"/>
    </xf>
    <xf numFmtId="2" fontId="6" fillId="0" borderId="63" xfId="0" applyNumberFormat="1" applyFont="1" applyBorder="1" applyAlignment="1">
      <alignment vertical="center"/>
    </xf>
    <xf numFmtId="3" fontId="6" fillId="0" borderId="7" xfId="0" applyNumberFormat="1" applyFont="1" applyFill="1" applyBorder="1" applyAlignment="1">
      <alignment horizontal="right" vertical="center"/>
    </xf>
    <xf numFmtId="165" fontId="6" fillId="0" borderId="7" xfId="0" applyNumberFormat="1" applyFont="1" applyFill="1" applyBorder="1" applyAlignment="1">
      <alignment horizontal="right" vertical="center"/>
    </xf>
    <xf numFmtId="168" fontId="11" fillId="0" borderId="6" xfId="0" applyNumberFormat="1" applyFont="1" applyBorder="1" applyAlignment="1">
      <alignment horizontal="right" vertical="center"/>
    </xf>
    <xf numFmtId="0" fontId="29" fillId="0" borderId="0" xfId="0" applyFont="1" applyFill="1" applyBorder="1" applyAlignment="1">
      <alignment horizontal="right"/>
    </xf>
    <xf numFmtId="0" fontId="28" fillId="0" borderId="53" xfId="4" applyBorder="1" applyAlignment="1"/>
    <xf numFmtId="164" fontId="6" fillId="0" borderId="0" xfId="0" quotePrefix="1" applyNumberFormat="1" applyFont="1" applyBorder="1" applyAlignment="1">
      <alignment horizontal="left" vertical="center"/>
    </xf>
    <xf numFmtId="164" fontId="11" fillId="0" borderId="11" xfId="0" applyNumberFormat="1" applyFont="1" applyBorder="1" applyAlignment="1">
      <alignment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7" xfId="0" applyNumberFormat="1" applyFont="1" applyBorder="1" applyAlignment="1">
      <alignment horizontal="right" vertical="center"/>
    </xf>
    <xf numFmtId="3" fontId="11" fillId="0" borderId="11" xfId="0" applyNumberFormat="1" applyFont="1" applyBorder="1" applyAlignment="1">
      <alignment vertical="center"/>
    </xf>
    <xf numFmtId="3" fontId="11" fillId="0" borderId="4" xfId="0" applyNumberFormat="1" applyFont="1" applyBorder="1" applyAlignment="1">
      <alignment horizontal="right" vertical="center"/>
    </xf>
    <xf numFmtId="0" fontId="11" fillId="0" borderId="11" xfId="0" applyFont="1" applyBorder="1"/>
    <xf numFmtId="3" fontId="11" fillId="0" borderId="4" xfId="0" applyNumberFormat="1" applyFont="1" applyFill="1" applyBorder="1" applyAlignment="1">
      <alignment vertical="center"/>
    </xf>
    <xf numFmtId="166" fontId="11" fillId="0" borderId="4" xfId="0" applyNumberFormat="1" applyFont="1" applyFill="1" applyBorder="1" applyAlignment="1">
      <alignment horizontal="right" vertical="center"/>
    </xf>
    <xf numFmtId="10" fontId="6" fillId="0" borderId="4" xfId="0" applyNumberFormat="1" applyFont="1" applyFill="1" applyBorder="1" applyAlignment="1">
      <alignment horizontal="right" vertical="center"/>
    </xf>
    <xf numFmtId="3" fontId="9" fillId="6" borderId="20" xfId="0" applyNumberFormat="1" applyFont="1" applyFill="1" applyBorder="1" applyAlignment="1">
      <alignment horizontal="center"/>
    </xf>
    <xf numFmtId="3" fontId="0" fillId="0" borderId="0" xfId="0" applyNumberFormat="1" applyFont="1" applyAlignment="1"/>
    <xf numFmtId="3" fontId="32" fillId="0" borderId="4" xfId="0" applyNumberFormat="1" applyFont="1" applyFill="1" applyBorder="1" applyAlignment="1">
      <alignment horizontal="right" vertical="center"/>
    </xf>
    <xf numFmtId="3" fontId="32" fillId="11" borderId="11" xfId="0" applyNumberFormat="1" applyFont="1" applyFill="1" applyBorder="1" applyAlignment="1">
      <alignment horizontal="right" vertical="center" wrapText="1"/>
    </xf>
    <xf numFmtId="3" fontId="32" fillId="11" borderId="4" xfId="0" applyNumberFormat="1" applyFont="1" applyFill="1" applyBorder="1" applyAlignment="1">
      <alignment horizontal="right" vertical="center" wrapText="1"/>
    </xf>
    <xf numFmtId="0" fontId="34" fillId="12" borderId="25" xfId="0" applyFont="1" applyFill="1" applyBorder="1" applyAlignment="1">
      <alignment horizontal="left" vertical="center"/>
    </xf>
    <xf numFmtId="3" fontId="35" fillId="12" borderId="64" xfId="0" applyNumberFormat="1" applyFont="1" applyFill="1" applyBorder="1" applyAlignment="1">
      <alignment horizontal="center" vertical="center" wrapText="1"/>
    </xf>
    <xf numFmtId="2" fontId="35" fillId="13" borderId="66" xfId="0" applyNumberFormat="1" applyFont="1" applyFill="1" applyBorder="1" applyAlignment="1">
      <alignment horizontal="left" vertical="center" wrapText="1"/>
    </xf>
    <xf numFmtId="2" fontId="35" fillId="12" borderId="67" xfId="0" applyNumberFormat="1" applyFont="1" applyFill="1" applyBorder="1" applyAlignment="1">
      <alignment horizontal="left" vertical="center" wrapText="1"/>
    </xf>
    <xf numFmtId="2" fontId="35" fillId="12" borderId="69" xfId="0" applyNumberFormat="1" applyFont="1" applyFill="1" applyBorder="1" applyAlignment="1">
      <alignment horizontal="left" vertical="center" wrapText="1"/>
    </xf>
    <xf numFmtId="2" fontId="35" fillId="13" borderId="70" xfId="0" applyNumberFormat="1" applyFont="1" applyFill="1" applyBorder="1" applyAlignment="1">
      <alignment horizontal="left" vertical="center" wrapText="1"/>
    </xf>
    <xf numFmtId="2" fontId="35" fillId="12" borderId="70" xfId="0" applyNumberFormat="1" applyFont="1" applyFill="1" applyBorder="1" applyAlignment="1">
      <alignment horizontal="left" vertical="center" wrapText="1"/>
    </xf>
    <xf numFmtId="2" fontId="35" fillId="12" borderId="30" xfId="0" applyNumberFormat="1" applyFont="1" applyFill="1" applyBorder="1" applyAlignment="1">
      <alignment horizontal="left" vertical="center" wrapText="1"/>
    </xf>
    <xf numFmtId="3" fontId="32" fillId="11" borderId="42" xfId="0" applyNumberFormat="1" applyFont="1" applyFill="1" applyBorder="1" applyAlignment="1">
      <alignment horizontal="right" vertical="center" wrapText="1"/>
    </xf>
    <xf numFmtId="3" fontId="35" fillId="12" borderId="65" xfId="0" applyNumberFormat="1" applyFont="1" applyFill="1" applyBorder="1" applyAlignment="1">
      <alignment horizontal="center" vertical="center" wrapText="1"/>
    </xf>
    <xf numFmtId="3" fontId="33" fillId="11" borderId="11" xfId="0" applyNumberFormat="1" applyFont="1" applyFill="1" applyBorder="1" applyAlignment="1">
      <alignment horizontal="right" vertical="center" wrapText="1"/>
    </xf>
    <xf numFmtId="3" fontId="36" fillId="11" borderId="41" xfId="0" applyNumberFormat="1" applyFont="1" applyFill="1" applyBorder="1" applyAlignment="1">
      <alignment horizontal="right" vertical="center" wrapText="1"/>
    </xf>
    <xf numFmtId="3" fontId="33" fillId="0" borderId="4" xfId="0" applyNumberFormat="1" applyFont="1" applyFill="1" applyBorder="1" applyAlignment="1">
      <alignment horizontal="right" vertical="center"/>
    </xf>
    <xf numFmtId="3" fontId="36" fillId="0" borderId="68" xfId="0" applyNumberFormat="1" applyFont="1" applyFill="1" applyBorder="1" applyAlignment="1">
      <alignment horizontal="right" vertical="center"/>
    </xf>
    <xf numFmtId="3" fontId="33" fillId="11" borderId="4" xfId="0" applyNumberFormat="1" applyFont="1" applyFill="1" applyBorder="1" applyAlignment="1">
      <alignment horizontal="right" vertical="center" wrapText="1"/>
    </xf>
    <xf numFmtId="3" fontId="36" fillId="11" borderId="68" xfId="0" applyNumberFormat="1" applyFont="1" applyFill="1" applyBorder="1" applyAlignment="1">
      <alignment horizontal="right" vertical="center" wrapText="1"/>
    </xf>
    <xf numFmtId="3" fontId="33" fillId="11" borderId="42" xfId="0" applyNumberFormat="1" applyFont="1" applyFill="1" applyBorder="1" applyAlignment="1">
      <alignment horizontal="right" vertical="center" wrapText="1"/>
    </xf>
    <xf numFmtId="3" fontId="36" fillId="11" borderId="43" xfId="0" applyNumberFormat="1" applyFont="1" applyFill="1" applyBorder="1" applyAlignment="1">
      <alignment horizontal="right" vertical="center" wrapText="1"/>
    </xf>
    <xf numFmtId="41" fontId="11" fillId="0" borderId="5" xfId="0" applyNumberFormat="1" applyFont="1" applyFill="1" applyBorder="1" applyAlignment="1">
      <alignment horizontal="right" vertical="center"/>
    </xf>
    <xf numFmtId="41" fontId="11" fillId="0" borderId="4" xfId="0" applyNumberFormat="1" applyFont="1" applyFill="1" applyBorder="1" applyAlignment="1">
      <alignment horizontal="right" vertical="center"/>
    </xf>
    <xf numFmtId="2" fontId="12" fillId="0" borderId="1" xfId="0" applyNumberFormat="1" applyFont="1" applyFill="1" applyBorder="1" applyAlignment="1">
      <alignment vertical="center"/>
    </xf>
    <xf numFmtId="3" fontId="9" fillId="0" borderId="2" xfId="0" applyNumberFormat="1" applyFont="1" applyFill="1" applyBorder="1" applyAlignment="1"/>
    <xf numFmtId="165" fontId="9" fillId="0" borderId="2" xfId="0" applyNumberFormat="1" applyFont="1" applyFill="1" applyBorder="1" applyAlignment="1"/>
    <xf numFmtId="4" fontId="9" fillId="0" borderId="3" xfId="0" applyNumberFormat="1" applyFont="1" applyFill="1" applyBorder="1" applyAlignment="1"/>
    <xf numFmtId="3" fontId="6" fillId="0" borderId="2" xfId="0" applyNumberFormat="1" applyFont="1" applyFill="1" applyBorder="1" applyAlignment="1">
      <alignment horizontal="right" vertical="center"/>
    </xf>
    <xf numFmtId="4" fontId="6" fillId="0" borderId="2" xfId="0" applyNumberFormat="1" applyFont="1" applyFill="1" applyBorder="1" applyAlignment="1">
      <alignment horizontal="right" vertical="center"/>
    </xf>
    <xf numFmtId="2" fontId="9" fillId="0" borderId="1" xfId="0" applyNumberFormat="1" applyFont="1" applyFill="1" applyBorder="1" applyAlignment="1">
      <alignment vertical="center"/>
    </xf>
    <xf numFmtId="3" fontId="9" fillId="6" borderId="6" xfId="0" applyNumberFormat="1" applyFont="1" applyFill="1" applyBorder="1" applyAlignment="1"/>
    <xf numFmtId="165" fontId="9" fillId="6" borderId="6" xfId="0" applyNumberFormat="1" applyFont="1" applyFill="1" applyBorder="1" applyAlignment="1"/>
    <xf numFmtId="4" fontId="9" fillId="6" borderId="8" xfId="0" applyNumberFormat="1" applyFont="1" applyFill="1" applyBorder="1" applyAlignment="1"/>
    <xf numFmtId="2" fontId="9" fillId="0" borderId="11" xfId="0" applyNumberFormat="1" applyFont="1" applyFill="1" applyBorder="1" applyAlignment="1">
      <alignment vertical="center"/>
    </xf>
    <xf numFmtId="3" fontId="9" fillId="0" borderId="11" xfId="0" applyNumberFormat="1" applyFont="1" applyFill="1" applyBorder="1" applyAlignment="1"/>
    <xf numFmtId="2" fontId="11" fillId="0" borderId="0" xfId="0" applyNumberFormat="1" applyFont="1" applyBorder="1" applyAlignment="1">
      <alignment horizontal="left" vertical="center" wrapText="1"/>
    </xf>
    <xf numFmtId="0" fontId="8" fillId="0" borderId="11" xfId="0" applyFont="1" applyBorder="1" applyAlignment="1"/>
    <xf numFmtId="2" fontId="6" fillId="0" borderId="1" xfId="0" applyNumberFormat="1" applyFont="1" applyFill="1" applyBorder="1" applyAlignment="1">
      <alignment vertical="center"/>
    </xf>
    <xf numFmtId="2" fontId="11" fillId="0" borderId="4" xfId="0" applyNumberFormat="1" applyFont="1" applyFill="1" applyBorder="1" applyAlignment="1">
      <alignment horizontal="left" vertical="center" wrapText="1"/>
    </xf>
    <xf numFmtId="2" fontId="17" fillId="0" borderId="7" xfId="0" applyNumberFormat="1" applyFont="1" applyFill="1" applyBorder="1" applyAlignment="1">
      <alignment vertical="center"/>
    </xf>
    <xf numFmtId="3" fontId="17" fillId="0" borderId="7" xfId="0" applyNumberFormat="1" applyFont="1" applyFill="1" applyBorder="1" applyAlignment="1">
      <alignment vertical="center"/>
    </xf>
    <xf numFmtId="3" fontId="17" fillId="0" borderId="7" xfId="0" applyNumberFormat="1" applyFont="1" applyFill="1" applyBorder="1" applyAlignment="1">
      <alignment horizontal="right" vertical="center"/>
    </xf>
    <xf numFmtId="165" fontId="17" fillId="0" borderId="7" xfId="0" applyNumberFormat="1" applyFont="1" applyFill="1" applyBorder="1" applyAlignment="1">
      <alignment horizontal="right" vertical="center"/>
    </xf>
    <xf numFmtId="2" fontId="6" fillId="0" borderId="4" xfId="0" applyNumberFormat="1" applyFont="1" applyFill="1" applyBorder="1" applyAlignment="1">
      <alignment vertical="center"/>
    </xf>
    <xf numFmtId="2" fontId="11" fillId="0" borderId="4" xfId="0" applyNumberFormat="1" applyFont="1" applyFill="1" applyBorder="1" applyAlignment="1">
      <alignment vertical="center"/>
    </xf>
    <xf numFmtId="3" fontId="6" fillId="10" borderId="4" xfId="0" applyNumberFormat="1" applyFont="1" applyFill="1" applyBorder="1" applyAlignment="1">
      <alignment horizontal="right" vertical="center"/>
    </xf>
    <xf numFmtId="165" fontId="6" fillId="10" borderId="4" xfId="0" applyNumberFormat="1" applyFont="1" applyFill="1" applyBorder="1" applyAlignment="1">
      <alignment horizontal="right" vertical="center"/>
    </xf>
    <xf numFmtId="4" fontId="6" fillId="10" borderId="4" xfId="0" applyNumberFormat="1" applyFont="1" applyFill="1" applyBorder="1" applyAlignment="1">
      <alignment horizontal="right" vertical="center"/>
    </xf>
    <xf numFmtId="2" fontId="11" fillId="0" borderId="70" xfId="5" applyNumberFormat="1" applyFont="1" applyFill="1" applyBorder="1" applyAlignment="1">
      <alignment horizontal="left" vertical="center" wrapText="1"/>
    </xf>
    <xf numFmtId="2" fontId="11" fillId="0" borderId="28" xfId="5" applyNumberFormat="1" applyFont="1" applyFill="1" applyBorder="1" applyAlignment="1">
      <alignment horizontal="left" vertical="center" wrapText="1"/>
    </xf>
    <xf numFmtId="2" fontId="11" fillId="0" borderId="70" xfId="5" applyNumberFormat="1" applyFont="1" applyFill="1" applyBorder="1" applyAlignment="1">
      <alignment horizontal="left" vertical="center" wrapText="1"/>
    </xf>
    <xf numFmtId="2" fontId="11" fillId="0" borderId="28" xfId="5" applyNumberFormat="1" applyFont="1" applyFill="1" applyBorder="1" applyAlignment="1">
      <alignment horizontal="left" vertical="center" wrapText="1"/>
    </xf>
    <xf numFmtId="2" fontId="6" fillId="0" borderId="2" xfId="0" applyNumberFormat="1" applyFont="1" applyFill="1" applyBorder="1" applyAlignment="1">
      <alignment vertical="center" wrapText="1"/>
    </xf>
    <xf numFmtId="2" fontId="6" fillId="0" borderId="2" xfId="0" applyNumberFormat="1" applyFont="1" applyBorder="1" applyAlignment="1">
      <alignment vertical="center" wrapText="1"/>
    </xf>
    <xf numFmtId="2" fontId="6" fillId="10" borderId="4" xfId="0" applyNumberFormat="1" applyFont="1" applyFill="1" applyBorder="1" applyAlignment="1">
      <alignment vertical="center" wrapText="1"/>
    </xf>
    <xf numFmtId="169" fontId="11" fillId="0" borderId="4" xfId="0" applyNumberFormat="1" applyFont="1" applyFill="1" applyBorder="1" applyAlignment="1">
      <alignment horizontal="right" vertical="center"/>
    </xf>
    <xf numFmtId="2" fontId="6" fillId="0" borderId="0" xfId="0" applyNumberFormat="1" applyFont="1" applyFill="1" applyBorder="1" applyAlignment="1">
      <alignment vertical="center" wrapText="1"/>
    </xf>
    <xf numFmtId="169" fontId="6" fillId="0" borderId="0" xfId="0" applyNumberFormat="1" applyFont="1" applyFill="1" applyBorder="1" applyAlignment="1">
      <alignment horizontal="right" vertical="center"/>
    </xf>
    <xf numFmtId="2" fontId="10" fillId="0" borderId="0" xfId="0" applyNumberFormat="1" applyFont="1" applyFill="1" applyAlignment="1">
      <alignment horizontal="right" vertical="center"/>
    </xf>
    <xf numFmtId="0" fontId="8" fillId="0" borderId="0" xfId="0" applyFont="1" applyFill="1" applyAlignment="1"/>
    <xf numFmtId="0" fontId="11" fillId="0" borderId="4" xfId="0" applyNumberFormat="1" applyFont="1" applyFill="1" applyBorder="1" applyAlignment="1">
      <alignment horizontal="right" vertical="center"/>
    </xf>
    <xf numFmtId="2" fontId="11" fillId="10" borderId="4" xfId="0" applyNumberFormat="1" applyFont="1" applyFill="1" applyBorder="1" applyAlignment="1">
      <alignment vertical="center"/>
    </xf>
    <xf numFmtId="166" fontId="6" fillId="10" borderId="11" xfId="2" applyNumberFormat="1" applyFont="1" applyFill="1" applyBorder="1" applyAlignment="1" applyProtection="1">
      <alignment horizontal="right" vertical="center"/>
      <protection locked="0"/>
    </xf>
    <xf numFmtId="170" fontId="6" fillId="6" borderId="4" xfId="0" applyNumberFormat="1" applyFont="1" applyFill="1" applyBorder="1" applyAlignment="1">
      <alignment horizontal="right" vertical="center"/>
    </xf>
    <xf numFmtId="2" fontId="12" fillId="10" borderId="1" xfId="0" applyNumberFormat="1" applyFont="1" applyFill="1" applyBorder="1" applyAlignment="1">
      <alignment vertical="center"/>
    </xf>
    <xf numFmtId="3" fontId="9" fillId="10" borderId="2" xfId="0" applyNumberFormat="1" applyFont="1" applyFill="1" applyBorder="1" applyAlignment="1"/>
    <xf numFmtId="165" fontId="9" fillId="10" borderId="2" xfId="0" applyNumberFormat="1" applyFont="1" applyFill="1" applyBorder="1" applyAlignment="1"/>
    <xf numFmtId="4" fontId="9" fillId="10" borderId="3" xfId="0" applyNumberFormat="1" applyFont="1" applyFill="1" applyBorder="1" applyAlignment="1"/>
    <xf numFmtId="2" fontId="6" fillId="10" borderId="1" xfId="0" applyNumberFormat="1" applyFont="1" applyFill="1" applyBorder="1" applyAlignment="1">
      <alignment vertical="center"/>
    </xf>
    <xf numFmtId="0" fontId="9" fillId="10" borderId="2" xfId="0" applyFont="1" applyFill="1" applyBorder="1" applyAlignment="1"/>
    <xf numFmtId="3" fontId="6" fillId="10" borderId="2" xfId="0" applyNumberFormat="1" applyFont="1" applyFill="1" applyBorder="1" applyAlignment="1">
      <alignment horizontal="right" vertical="center"/>
    </xf>
    <xf numFmtId="165" fontId="6" fillId="10" borderId="2" xfId="0" applyNumberFormat="1" applyFont="1" applyFill="1" applyBorder="1" applyAlignment="1">
      <alignment horizontal="right" vertical="center"/>
    </xf>
    <xf numFmtId="4" fontId="6" fillId="10" borderId="2" xfId="0" applyNumberFormat="1" applyFont="1" applyFill="1" applyBorder="1" applyAlignment="1">
      <alignment horizontal="right" vertical="center"/>
    </xf>
    <xf numFmtId="2" fontId="12" fillId="4" borderId="1" xfId="0" applyNumberFormat="1" applyFont="1" applyFill="1" applyBorder="1" applyAlignment="1">
      <alignment horizontal="left" vertical="center"/>
    </xf>
    <xf numFmtId="3" fontId="9" fillId="10" borderId="2" xfId="0" applyNumberFormat="1" applyFont="1" applyFill="1" applyBorder="1"/>
    <xf numFmtId="165" fontId="9" fillId="10" borderId="2" xfId="0" applyNumberFormat="1" applyFont="1" applyFill="1" applyBorder="1"/>
    <xf numFmtId="4" fontId="9" fillId="10" borderId="3" xfId="0" applyNumberFormat="1" applyFont="1" applyFill="1" applyBorder="1"/>
    <xf numFmtId="2" fontId="12" fillId="4" borderId="1" xfId="0" applyNumberFormat="1" applyFont="1" applyFill="1" applyBorder="1" applyAlignment="1">
      <alignment vertical="center"/>
    </xf>
    <xf numFmtId="2" fontId="6" fillId="10" borderId="17" xfId="0" applyNumberFormat="1" applyFont="1" applyFill="1" applyBorder="1" applyAlignment="1">
      <alignment vertical="center"/>
    </xf>
    <xf numFmtId="3" fontId="9" fillId="10" borderId="6" xfId="0" applyNumberFormat="1" applyFont="1" applyFill="1" applyBorder="1" applyAlignment="1"/>
    <xf numFmtId="165" fontId="9" fillId="10" borderId="6" xfId="0" applyNumberFormat="1" applyFont="1" applyFill="1" applyBorder="1" applyAlignment="1"/>
    <xf numFmtId="4" fontId="9" fillId="10" borderId="8" xfId="0" applyNumberFormat="1" applyFont="1" applyFill="1" applyBorder="1" applyAlignment="1"/>
    <xf numFmtId="3" fontId="6" fillId="10" borderId="2" xfId="0" applyNumberFormat="1" applyFont="1" applyFill="1" applyBorder="1" applyAlignment="1">
      <alignment vertical="center"/>
    </xf>
    <xf numFmtId="165" fontId="6" fillId="10" borderId="2" xfId="0" applyNumberFormat="1" applyFont="1" applyFill="1" applyBorder="1" applyAlignment="1">
      <alignment vertical="center"/>
    </xf>
    <xf numFmtId="4" fontId="6" fillId="10" borderId="3" xfId="0" applyNumberFormat="1" applyFont="1" applyFill="1" applyBorder="1" applyAlignment="1">
      <alignment vertical="center"/>
    </xf>
    <xf numFmtId="2" fontId="6" fillId="11" borderId="0" xfId="0" applyNumberFormat="1" applyFont="1" applyFill="1" applyBorder="1" applyAlignment="1">
      <alignment vertical="center" wrapText="1"/>
    </xf>
    <xf numFmtId="169" fontId="6" fillId="11" borderId="0" xfId="0" applyNumberFormat="1" applyFont="1" applyFill="1" applyBorder="1" applyAlignment="1">
      <alignment horizontal="right" vertical="center"/>
    </xf>
    <xf numFmtId="165" fontId="6" fillId="11" borderId="0" xfId="0" applyNumberFormat="1" applyFont="1" applyFill="1" applyBorder="1" applyAlignment="1">
      <alignment horizontal="right" vertical="center"/>
    </xf>
    <xf numFmtId="4" fontId="6" fillId="11" borderId="0" xfId="0" applyNumberFormat="1" applyFont="1" applyFill="1" applyBorder="1" applyAlignment="1">
      <alignment horizontal="right" vertical="center"/>
    </xf>
    <xf numFmtId="3" fontId="11" fillId="0" borderId="14" xfId="0" applyNumberFormat="1" applyFont="1" applyFill="1" applyBorder="1" applyAlignment="1">
      <alignment vertical="center"/>
    </xf>
    <xf numFmtId="166" fontId="6" fillId="10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right" vertical="center"/>
    </xf>
    <xf numFmtId="2" fontId="6" fillId="10" borderId="1" xfId="0" applyNumberFormat="1" applyFont="1" applyFill="1" applyBorder="1" applyAlignment="1">
      <alignment vertical="center" wrapText="1"/>
    </xf>
    <xf numFmtId="3" fontId="6" fillId="11" borderId="0" xfId="0" applyNumberFormat="1" applyFont="1" applyFill="1" applyBorder="1" applyAlignment="1">
      <alignment horizontal="right" vertical="center"/>
    </xf>
    <xf numFmtId="0" fontId="0" fillId="11" borderId="0" xfId="0" applyFont="1" applyFill="1" applyAlignment="1"/>
    <xf numFmtId="0" fontId="0" fillId="11" borderId="0" xfId="0" quotePrefix="1" applyFont="1" applyFill="1" applyAlignment="1"/>
    <xf numFmtId="0" fontId="21" fillId="14" borderId="44" xfId="0" applyFont="1" applyFill="1" applyBorder="1"/>
    <xf numFmtId="0" fontId="22" fillId="14" borderId="37" xfId="0" applyFont="1" applyFill="1" applyBorder="1" applyAlignment="1">
      <alignment horizontal="center"/>
    </xf>
    <xf numFmtId="0" fontId="22" fillId="14" borderId="38" xfId="0" applyFont="1" applyFill="1" applyBorder="1" applyAlignment="1">
      <alignment horizontal="center"/>
    </xf>
    <xf numFmtId="0" fontId="21" fillId="11" borderId="0" xfId="0" applyFont="1" applyFill="1"/>
    <xf numFmtId="0" fontId="22" fillId="11" borderId="0" xfId="0" applyFont="1" applyFill="1"/>
    <xf numFmtId="0" fontId="11" fillId="11" borderId="0" xfId="0" applyFont="1" applyFill="1"/>
    <xf numFmtId="0" fontId="23" fillId="11" borderId="0" xfId="0" applyFont="1" applyFill="1"/>
    <xf numFmtId="0" fontId="23" fillId="11" borderId="0" xfId="0" applyFont="1" applyFill="1" applyAlignment="1"/>
    <xf numFmtId="0" fontId="21" fillId="11" borderId="3" xfId="0" applyFont="1" applyFill="1" applyBorder="1" applyAlignment="1">
      <alignment wrapText="1"/>
    </xf>
    <xf numFmtId="3" fontId="21" fillId="11" borderId="4" xfId="0" applyNumberFormat="1" applyFont="1" applyFill="1" applyBorder="1" applyAlignment="1">
      <alignment horizontal="right" vertical="center"/>
    </xf>
    <xf numFmtId="0" fontId="22" fillId="14" borderId="44" xfId="0" applyFont="1" applyFill="1" applyBorder="1" applyAlignment="1">
      <alignment horizontal="center" wrapText="1"/>
    </xf>
    <xf numFmtId="0" fontId="21" fillId="11" borderId="45" xfId="0" applyFont="1" applyFill="1" applyBorder="1" applyAlignment="1"/>
    <xf numFmtId="10" fontId="21" fillId="11" borderId="21" xfId="1" applyNumberFormat="1" applyFont="1" applyFill="1" applyBorder="1"/>
    <xf numFmtId="2" fontId="11" fillId="11" borderId="0" xfId="0" applyNumberFormat="1" applyFont="1" applyFill="1"/>
    <xf numFmtId="2" fontId="23" fillId="11" borderId="0" xfId="0" applyNumberFormat="1" applyFont="1" applyFill="1"/>
    <xf numFmtId="0" fontId="21" fillId="11" borderId="45" xfId="0" applyFont="1" applyFill="1" applyBorder="1" applyAlignment="1">
      <alignment wrapText="1"/>
    </xf>
    <xf numFmtId="0" fontId="22" fillId="14" borderId="45" xfId="0" applyFont="1" applyFill="1" applyBorder="1"/>
    <xf numFmtId="0" fontId="22" fillId="14" borderId="3" xfId="0" applyFont="1" applyFill="1" applyBorder="1" applyAlignment="1">
      <alignment wrapText="1"/>
    </xf>
    <xf numFmtId="3" fontId="21" fillId="11" borderId="3" xfId="0" applyNumberFormat="1" applyFont="1" applyFill="1" applyBorder="1" applyAlignment="1">
      <alignment horizontal="center"/>
    </xf>
    <xf numFmtId="0" fontId="22" fillId="14" borderId="46" xfId="0" applyFont="1" applyFill="1" applyBorder="1"/>
    <xf numFmtId="0" fontId="21" fillId="11" borderId="0" xfId="0" applyFont="1" applyFill="1" applyBorder="1"/>
    <xf numFmtId="0" fontId="22" fillId="14" borderId="47" xfId="0" applyFont="1" applyFill="1" applyBorder="1"/>
    <xf numFmtId="0" fontId="22" fillId="14" borderId="39" xfId="0" applyFont="1" applyFill="1" applyBorder="1"/>
    <xf numFmtId="0" fontId="22" fillId="14" borderId="39" xfId="0" applyFont="1" applyFill="1" applyBorder="1" applyAlignment="1">
      <alignment horizontal="center"/>
    </xf>
    <xf numFmtId="0" fontId="22" fillId="14" borderId="40" xfId="0" applyFont="1" applyFill="1" applyBorder="1" applyAlignment="1">
      <alignment horizontal="center"/>
    </xf>
    <xf numFmtId="0" fontId="11" fillId="11" borderId="0" xfId="0" applyFont="1" applyFill="1" applyBorder="1"/>
    <xf numFmtId="0" fontId="23" fillId="11" borderId="0" xfId="0" applyFont="1" applyFill="1" applyBorder="1"/>
    <xf numFmtId="0" fontId="23" fillId="11" borderId="0" xfId="0" applyFont="1" applyFill="1" applyBorder="1" applyAlignment="1"/>
    <xf numFmtId="0" fontId="0" fillId="11" borderId="0" xfId="0" applyFill="1"/>
    <xf numFmtId="2" fontId="6" fillId="10" borderId="2" xfId="0" applyNumberFormat="1" applyFont="1" applyFill="1" applyBorder="1" applyAlignment="1">
      <alignment vertical="center" wrapText="1"/>
    </xf>
    <xf numFmtId="2" fontId="6" fillId="10" borderId="3" xfId="0" applyNumberFormat="1" applyFont="1" applyFill="1" applyBorder="1" applyAlignment="1">
      <alignment vertical="center" wrapText="1"/>
    </xf>
    <xf numFmtId="2" fontId="11" fillId="0" borderId="11" xfId="0" applyNumberFormat="1" applyFont="1" applyBorder="1" applyAlignment="1">
      <alignment vertical="center"/>
    </xf>
    <xf numFmtId="4" fontId="11" fillId="0" borderId="11" xfId="0" applyNumberFormat="1" applyFont="1" applyFill="1" applyBorder="1" applyAlignment="1">
      <alignment horizontal="right" vertical="center"/>
    </xf>
    <xf numFmtId="165" fontId="6" fillId="10" borderId="3" xfId="0" applyNumberFormat="1" applyFont="1" applyFill="1" applyBorder="1" applyAlignment="1">
      <alignment horizontal="right" vertical="center"/>
    </xf>
    <xf numFmtId="3" fontId="6" fillId="10" borderId="4" xfId="0" quotePrefix="1" applyNumberFormat="1" applyFont="1" applyFill="1" applyBorder="1" applyAlignment="1">
      <alignment horizontal="right" vertical="center"/>
    </xf>
    <xf numFmtId="2" fontId="12" fillId="5" borderId="2" xfId="0" applyNumberFormat="1" applyFont="1" applyFill="1" applyBorder="1" applyAlignment="1">
      <alignment vertical="center"/>
    </xf>
    <xf numFmtId="2" fontId="12" fillId="5" borderId="3" xfId="0" applyNumberFormat="1" applyFont="1" applyFill="1" applyBorder="1" applyAlignment="1">
      <alignment vertical="center"/>
    </xf>
    <xf numFmtId="3" fontId="11" fillId="11" borderId="11" xfId="0" applyNumberFormat="1" applyFont="1" applyFill="1" applyBorder="1" applyAlignment="1">
      <alignment horizontal="right" vertical="center"/>
    </xf>
    <xf numFmtId="3" fontId="11" fillId="11" borderId="10" xfId="0" applyNumberFormat="1" applyFont="1" applyFill="1" applyBorder="1" applyAlignment="1">
      <alignment horizontal="right" vertical="center"/>
    </xf>
    <xf numFmtId="169" fontId="11" fillId="11" borderId="4" xfId="0" applyNumberFormat="1" applyFont="1" applyFill="1" applyBorder="1" applyAlignment="1">
      <alignment horizontal="right" vertical="center"/>
    </xf>
    <xf numFmtId="166" fontId="11" fillId="11" borderId="4" xfId="0" applyNumberFormat="1" applyFont="1" applyFill="1" applyBorder="1" applyAlignment="1">
      <alignment horizontal="right" vertical="center"/>
    </xf>
    <xf numFmtId="0" fontId="11" fillId="11" borderId="4" xfId="0" applyNumberFormat="1" applyFont="1" applyFill="1" applyBorder="1" applyAlignment="1">
      <alignment horizontal="right" vertical="center"/>
    </xf>
    <xf numFmtId="3" fontId="11" fillId="11" borderId="5" xfId="0" applyNumberFormat="1" applyFont="1" applyFill="1" applyBorder="1" applyAlignment="1">
      <alignment horizontal="right" vertical="center"/>
    </xf>
    <xf numFmtId="167" fontId="11" fillId="11" borderId="4" xfId="0" applyNumberFormat="1" applyFont="1" applyFill="1" applyBorder="1" applyAlignment="1">
      <alignment horizontal="right" vertical="center"/>
    </xf>
    <xf numFmtId="4" fontId="11" fillId="11" borderId="11" xfId="0" applyNumberFormat="1" applyFont="1" applyFill="1" applyBorder="1" applyAlignment="1">
      <alignment horizontal="right" vertical="center"/>
    </xf>
    <xf numFmtId="3" fontId="9" fillId="11" borderId="11" xfId="0" applyNumberFormat="1" applyFont="1" applyFill="1" applyBorder="1" applyAlignment="1">
      <alignment horizontal="right" vertical="center"/>
    </xf>
    <xf numFmtId="4" fontId="13" fillId="0" borderId="4" xfId="0" applyNumberFormat="1" applyFont="1" applyFill="1" applyBorder="1" applyAlignment="1">
      <alignment horizontal="right" vertical="center"/>
    </xf>
    <xf numFmtId="1" fontId="11" fillId="0" borderId="4" xfId="0" applyNumberFormat="1" applyFont="1" applyBorder="1" applyAlignment="1">
      <alignment vertical="center" wrapText="1"/>
    </xf>
    <xf numFmtId="1" fontId="11" fillId="0" borderId="4" xfId="0" applyNumberFormat="1" applyFont="1" applyFill="1" applyBorder="1" applyAlignment="1">
      <alignment horizontal="right" vertical="center"/>
    </xf>
    <xf numFmtId="1" fontId="11" fillId="0" borderId="4" xfId="0" applyNumberFormat="1" applyFont="1" applyBorder="1" applyAlignment="1">
      <alignment horizontal="left" vertical="center" wrapText="1"/>
    </xf>
    <xf numFmtId="3" fontId="9" fillId="11" borderId="11" xfId="0" applyNumberFormat="1" applyFont="1" applyFill="1" applyBorder="1" applyAlignment="1"/>
    <xf numFmtId="4" fontId="11" fillId="11" borderId="4" xfId="0" applyNumberFormat="1" applyFont="1" applyFill="1" applyBorder="1" applyAlignment="1">
      <alignment horizontal="right" vertical="center"/>
    </xf>
    <xf numFmtId="10" fontId="6" fillId="11" borderId="11" xfId="1" applyNumberFormat="1" applyFont="1" applyFill="1" applyBorder="1" applyAlignment="1">
      <alignment horizontal="right" vertical="center"/>
    </xf>
    <xf numFmtId="2" fontId="11" fillId="0" borderId="4" xfId="0" applyNumberFormat="1" applyFont="1" applyFill="1" applyBorder="1" applyAlignment="1">
      <alignment horizontal="right" vertical="center"/>
    </xf>
    <xf numFmtId="0" fontId="29" fillId="0" borderId="59" xfId="0" applyFont="1" applyBorder="1" applyAlignment="1">
      <alignment horizontal="center"/>
    </xf>
    <xf numFmtId="0" fontId="29" fillId="0" borderId="60" xfId="0" applyFont="1" applyBorder="1" applyAlignment="1">
      <alignment horizontal="center"/>
    </xf>
    <xf numFmtId="0" fontId="29" fillId="0" borderId="61" xfId="0" applyFont="1" applyBorder="1" applyAlignment="1">
      <alignment horizontal="center"/>
    </xf>
    <xf numFmtId="0" fontId="23" fillId="0" borderId="0" xfId="0" applyFont="1" applyBorder="1" applyAlignment="1">
      <alignment horizontal="left"/>
    </xf>
    <xf numFmtId="0" fontId="23" fillId="0" borderId="53" xfId="0" applyFont="1" applyBorder="1" applyAlignment="1">
      <alignment horizontal="left"/>
    </xf>
    <xf numFmtId="0" fontId="23" fillId="0" borderId="51" xfId="0" applyFont="1" applyBorder="1" applyAlignment="1">
      <alignment horizontal="left"/>
    </xf>
    <xf numFmtId="0" fontId="23" fillId="0" borderId="52" xfId="0" applyFont="1" applyBorder="1" applyAlignment="1">
      <alignment horizontal="left"/>
    </xf>
    <xf numFmtId="0" fontId="29" fillId="0" borderId="50" xfId="0" applyFont="1" applyBorder="1" applyAlignment="1">
      <alignment horizontal="center" vertical="center" wrapText="1"/>
    </xf>
    <xf numFmtId="0" fontId="29" fillId="0" borderId="51" xfId="0" applyFont="1" applyBorder="1" applyAlignment="1">
      <alignment horizontal="center" vertical="center" wrapText="1"/>
    </xf>
    <xf numFmtId="0" fontId="29" fillId="0" borderId="52" xfId="0" applyFont="1" applyBorder="1" applyAlignment="1">
      <alignment horizontal="center" vertical="center" wrapText="1"/>
    </xf>
    <xf numFmtId="0" fontId="23" fillId="0" borderId="48" xfId="0" applyFont="1" applyBorder="1" applyAlignment="1">
      <alignment horizontal="left"/>
    </xf>
    <xf numFmtId="0" fontId="23" fillId="0" borderId="55" xfId="0" applyFont="1" applyBorder="1" applyAlignment="1">
      <alignment horizontal="left"/>
    </xf>
    <xf numFmtId="0" fontId="28" fillId="0" borderId="0" xfId="4"/>
    <xf numFmtId="0" fontId="28" fillId="0" borderId="0" xfId="4" applyAlignment="1">
      <alignment horizontal="left"/>
    </xf>
    <xf numFmtId="0" fontId="28" fillId="0" borderId="0" xfId="4" applyBorder="1" applyAlignment="1">
      <alignment horizontal="left"/>
    </xf>
    <xf numFmtId="0" fontId="30" fillId="0" borderId="0" xfId="4" applyFont="1" applyBorder="1" applyAlignment="1">
      <alignment horizontal="left"/>
    </xf>
    <xf numFmtId="0" fontId="28" fillId="0" borderId="51" xfId="4" applyBorder="1" applyAlignment="1">
      <alignment horizontal="left"/>
    </xf>
    <xf numFmtId="164" fontId="31" fillId="0" borderId="0" xfId="0" applyNumberFormat="1" applyFont="1" applyFill="1" applyAlignment="1">
      <alignment horizontal="center" vertical="center"/>
    </xf>
    <xf numFmtId="164" fontId="31" fillId="0" borderId="0" xfId="0" applyNumberFormat="1" applyFont="1" applyFill="1" applyBorder="1" applyAlignment="1">
      <alignment horizontal="center" vertical="center"/>
    </xf>
    <xf numFmtId="2" fontId="12" fillId="5" borderId="19" xfId="0" applyNumberFormat="1" applyFont="1" applyFill="1" applyBorder="1" applyAlignment="1">
      <alignment horizontal="left" vertical="center"/>
    </xf>
    <xf numFmtId="2" fontId="12" fillId="5" borderId="20" xfId="0" applyNumberFormat="1" applyFont="1" applyFill="1" applyBorder="1" applyAlignment="1">
      <alignment horizontal="left" vertical="center"/>
    </xf>
    <xf numFmtId="2" fontId="12" fillId="5" borderId="21" xfId="0" applyNumberFormat="1" applyFont="1" applyFill="1" applyBorder="1" applyAlignment="1">
      <alignment horizontal="left" vertical="center"/>
    </xf>
    <xf numFmtId="0" fontId="21" fillId="11" borderId="45" xfId="0" applyFont="1" applyFill="1" applyBorder="1" applyAlignment="1">
      <alignment horizontal="center" vertical="center"/>
    </xf>
  </cellXfs>
  <cellStyles count="6">
    <cellStyle name="Hiperlink" xfId="4" builtinId="8"/>
    <cellStyle name="Normal" xfId="0" builtinId="0"/>
    <cellStyle name="Normal 2" xfId="3" xr:uid="{00000000-0005-0000-0000-000002000000}"/>
    <cellStyle name="Normal 3" xfId="5" xr:uid="{00000000-0005-0000-0000-000003000000}"/>
    <cellStyle name="Porcentagem" xfId="1" builtinId="5"/>
    <cellStyle name="Vírgula" xfId="2" builtinId="3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2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/>
              <a:t>% de Ocupação Clínica Cirurgica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2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Ocupação'!$B$1</c:f>
              <c:strCache>
                <c:ptCount val="1"/>
                <c:pt idx="0">
                  <c:v>JAN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Ocupação'!$B$3</c:f>
              <c:numCache>
                <c:formatCode>0.00%</c:formatCode>
                <c:ptCount val="1"/>
                <c:pt idx="0">
                  <c:v>0.50322580645161286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C0-401D-A720-419ABF94E250}"/>
            </c:ext>
          </c:extLst>
        </c:ser>
        <c:ser>
          <c:idx val="1"/>
          <c:order val="1"/>
          <c:tx>
            <c:strRef>
              <c:f>'% de Ocupação'!$C$1</c:f>
              <c:strCache>
                <c:ptCount val="1"/>
                <c:pt idx="0">
                  <c:v>FEV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Ocupação'!$C$3</c:f>
              <c:numCache>
                <c:formatCode>0.00%</c:formatCode>
                <c:ptCount val="1"/>
                <c:pt idx="0">
                  <c:v>0.54642857142857137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FC0-401D-A720-419ABF94E250}"/>
            </c:ext>
          </c:extLst>
        </c:ser>
        <c:ser>
          <c:idx val="2"/>
          <c:order val="2"/>
          <c:tx>
            <c:strRef>
              <c:f>'% de Ocupação'!$D$1</c:f>
              <c:strCache>
                <c:ptCount val="1"/>
                <c:pt idx="0">
                  <c:v>MAR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Ocupação'!$D$3</c:f>
              <c:numCache>
                <c:formatCode>0.00%</c:formatCode>
                <c:ptCount val="1"/>
                <c:pt idx="0">
                  <c:v>0.41129032258064518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FC0-401D-A720-419ABF94E250}"/>
            </c:ext>
          </c:extLst>
        </c:ser>
        <c:ser>
          <c:idx val="3"/>
          <c:order val="3"/>
          <c:tx>
            <c:strRef>
              <c:f>'% de Ocupação'!$E$1</c:f>
              <c:strCache>
                <c:ptCount val="1"/>
                <c:pt idx="0">
                  <c:v>ABR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Ocupação'!$E$3</c:f>
              <c:numCache>
                <c:formatCode>0.00%</c:formatCode>
                <c:ptCount val="1"/>
                <c:pt idx="0">
                  <c:v>0.185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FC0-401D-A720-419ABF94E250}"/>
            </c:ext>
          </c:extLst>
        </c:ser>
        <c:ser>
          <c:idx val="4"/>
          <c:order val="4"/>
          <c:tx>
            <c:strRef>
              <c:f>'% de Ocupação'!$F$1</c:f>
              <c:strCache>
                <c:ptCount val="1"/>
                <c:pt idx="0">
                  <c:v>MAI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Ocupação'!$F$3</c:f>
              <c:numCache>
                <c:formatCode>0.00%</c:formatCode>
                <c:ptCount val="1"/>
                <c:pt idx="0">
                  <c:v>0.25645161290322582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FC0-401D-A720-419ABF94E250}"/>
            </c:ext>
          </c:extLst>
        </c:ser>
        <c:ser>
          <c:idx val="5"/>
          <c:order val="5"/>
          <c:tx>
            <c:strRef>
              <c:f>'% de Ocupação'!$G$1</c:f>
              <c:strCache>
                <c:ptCount val="1"/>
                <c:pt idx="0">
                  <c:v>JUN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Ocupação'!$G$3</c:f>
              <c:numCache>
                <c:formatCode>0.00%</c:formatCode>
                <c:ptCount val="1"/>
                <c:pt idx="0">
                  <c:v>0.55500000000000005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FC0-401D-A720-419ABF94E250}"/>
            </c:ext>
          </c:extLst>
        </c:ser>
        <c:ser>
          <c:idx val="6"/>
          <c:order val="6"/>
          <c:tx>
            <c:strRef>
              <c:f>'% de Ocupação'!$H$1</c:f>
              <c:strCache>
                <c:ptCount val="1"/>
                <c:pt idx="0">
                  <c:v>JUL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Ocupação'!$H$3</c:f>
              <c:numCache>
                <c:formatCode>0.00%</c:formatCode>
                <c:ptCount val="1"/>
                <c:pt idx="0">
                  <c:v>0.57903225806451608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FC0-401D-A720-419ABF94E250}"/>
            </c:ext>
          </c:extLst>
        </c:ser>
        <c:ser>
          <c:idx val="7"/>
          <c:order val="7"/>
          <c:tx>
            <c:strRef>
              <c:f>'% de Ocupação'!$I$1</c:f>
              <c:strCache>
                <c:ptCount val="1"/>
                <c:pt idx="0">
                  <c:v>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Ocupação'!$I$3</c:f>
              <c:numCache>
                <c:formatCode>0.00%</c:formatCode>
                <c:ptCount val="1"/>
                <c:pt idx="0">
                  <c:v>0.717741935483871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FC0-401D-A720-419ABF94E250}"/>
            </c:ext>
          </c:extLst>
        </c:ser>
        <c:ser>
          <c:idx val="8"/>
          <c:order val="8"/>
          <c:tx>
            <c:strRef>
              <c:f>'% de Ocupação'!$J$1</c:f>
              <c:strCache>
                <c:ptCount val="1"/>
                <c:pt idx="0">
                  <c:v>SET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Ocupação'!$J$3</c:f>
              <c:numCache>
                <c:formatCode>0.00%</c:formatCode>
                <c:ptCount val="1"/>
                <c:pt idx="0">
                  <c:v>0.60499999999999998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FC0-401D-A720-419ABF94E250}"/>
            </c:ext>
          </c:extLst>
        </c:ser>
        <c:ser>
          <c:idx val="9"/>
          <c:order val="9"/>
          <c:tx>
            <c:strRef>
              <c:f>'% de Ocupação'!$K$1</c:f>
              <c:strCache>
                <c:ptCount val="1"/>
                <c:pt idx="0">
                  <c:v>OUT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Ocupação'!$K$3</c:f>
              <c:numCache>
                <c:formatCode>0.00%</c:formatCode>
                <c:ptCount val="1"/>
                <c:pt idx="0">
                  <c:v>0.58064516129032262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FC0-401D-A720-419ABF94E250}"/>
            </c:ext>
          </c:extLst>
        </c:ser>
        <c:ser>
          <c:idx val="10"/>
          <c:order val="10"/>
          <c:tx>
            <c:strRef>
              <c:f>'% de Ocupação'!$L$1</c:f>
              <c:strCache>
                <c:ptCount val="1"/>
                <c:pt idx="0">
                  <c:v>NOV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Ocupação'!$L$3</c:f>
              <c:numCache>
                <c:formatCode>0.00%</c:formatCode>
                <c:ptCount val="1"/>
                <c:pt idx="0">
                  <c:v>0.60583333333333333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1FC0-401D-A720-419ABF94E250}"/>
            </c:ext>
          </c:extLst>
        </c:ser>
        <c:ser>
          <c:idx val="11"/>
          <c:order val="11"/>
          <c:tx>
            <c:strRef>
              <c:f>'% de Ocupação'!$M$1</c:f>
              <c:strCache>
                <c:ptCount val="1"/>
                <c:pt idx="0">
                  <c:v>DEZ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Ocupação'!$M$3</c:f>
              <c:numCache>
                <c:formatCode>0.00%</c:formatCode>
                <c:ptCount val="1"/>
                <c:pt idx="0">
                  <c:v>0.6411290322580645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1FC0-401D-A720-419ABF94E25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27623480"/>
        <c:axId val="527625048"/>
      </c:barChart>
      <c:catAx>
        <c:axId val="52762348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27625048"/>
        <c:crosses val="autoZero"/>
        <c:auto val="1"/>
        <c:lblAlgn val="ctr"/>
        <c:lblOffset val="100"/>
        <c:noMultiLvlLbl val="0"/>
      </c:catAx>
      <c:valAx>
        <c:axId val="527625048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5276234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2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/>
              <a:t>% de Ocupação Clínica Médica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2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4120921983825435"/>
          <c:y val="0.1732165472525436"/>
          <c:w val="0.83598251216459663"/>
          <c:h val="0.6685809454186015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'% de Ocupação'!$B$1</c:f>
              <c:strCache>
                <c:ptCount val="1"/>
                <c:pt idx="0">
                  <c:v>JAN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Ocupação'!$B$4</c:f>
              <c:numCache>
                <c:formatCode>0.00%</c:formatCode>
                <c:ptCount val="1"/>
                <c:pt idx="0">
                  <c:v>0.82016129032258067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E0-40BB-BB5F-6BA04BCD65FB}"/>
            </c:ext>
          </c:extLst>
        </c:ser>
        <c:ser>
          <c:idx val="1"/>
          <c:order val="1"/>
          <c:tx>
            <c:strRef>
              <c:f>'% de Ocupação'!$C$1</c:f>
              <c:strCache>
                <c:ptCount val="1"/>
                <c:pt idx="0">
                  <c:v>FEV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/>
          </c:spPr>
          <c:invertIfNegative val="0"/>
          <c:dLbls>
            <c:dLbl>
              <c:idx val="0"/>
              <c:layout>
                <c:manualLayout>
                  <c:x val="-2.6134171842549951E-17"/>
                  <c:y val="1.868067373982673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3E0-40BB-BB5F-6BA04BCD65F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Ocupação'!$C$4</c:f>
              <c:numCache>
                <c:formatCode>0.00%</c:formatCode>
                <c:ptCount val="1"/>
                <c:pt idx="0">
                  <c:v>0.80089285714285718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3E0-40BB-BB5F-6BA04BCD65FB}"/>
            </c:ext>
          </c:extLst>
        </c:ser>
        <c:ser>
          <c:idx val="2"/>
          <c:order val="2"/>
          <c:tx>
            <c:strRef>
              <c:f>'% de Ocupação'!$D$1</c:f>
              <c:strCache>
                <c:ptCount val="1"/>
                <c:pt idx="0">
                  <c:v>MAR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4.670168434956710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3E0-40BB-BB5F-6BA04BCD65F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Ocupação'!$D$4</c:f>
              <c:numCache>
                <c:formatCode>0.00%</c:formatCode>
                <c:ptCount val="1"/>
                <c:pt idx="0">
                  <c:v>0.76129032258064511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3E0-40BB-BB5F-6BA04BCD65FB}"/>
            </c:ext>
          </c:extLst>
        </c:ser>
        <c:ser>
          <c:idx val="3"/>
          <c:order val="3"/>
          <c:tx>
            <c:strRef>
              <c:f>'% de Ocupação'!$E$1</c:f>
              <c:strCache>
                <c:ptCount val="1"/>
                <c:pt idx="0">
                  <c:v>ABR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Ocupação'!$E$4</c:f>
              <c:numCache>
                <c:formatCode>0.00%</c:formatCode>
                <c:ptCount val="1"/>
                <c:pt idx="0">
                  <c:v>0.63500000000000001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3E0-40BB-BB5F-6BA04BCD65FB}"/>
            </c:ext>
          </c:extLst>
        </c:ser>
        <c:ser>
          <c:idx val="4"/>
          <c:order val="4"/>
          <c:tx>
            <c:strRef>
              <c:f>'% de Ocupação'!$F$1</c:f>
              <c:strCache>
                <c:ptCount val="1"/>
                <c:pt idx="0">
                  <c:v>MAI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Ocupação'!$F$4</c:f>
              <c:numCache>
                <c:formatCode>0.00%</c:formatCode>
                <c:ptCount val="1"/>
                <c:pt idx="0">
                  <c:v>0.50564516129032255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3E0-40BB-BB5F-6BA04BCD65FB}"/>
            </c:ext>
          </c:extLst>
        </c:ser>
        <c:ser>
          <c:idx val="5"/>
          <c:order val="5"/>
          <c:tx>
            <c:strRef>
              <c:f>'% de Ocupação'!$G$1</c:f>
              <c:strCache>
                <c:ptCount val="1"/>
                <c:pt idx="0">
                  <c:v>JUN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Ocupação'!$G$4</c:f>
              <c:numCache>
                <c:formatCode>0.00%</c:formatCode>
                <c:ptCount val="1"/>
                <c:pt idx="0">
                  <c:v>0.5625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3E0-40BB-BB5F-6BA04BCD65FB}"/>
            </c:ext>
          </c:extLst>
        </c:ser>
        <c:ser>
          <c:idx val="6"/>
          <c:order val="6"/>
          <c:tx>
            <c:strRef>
              <c:f>'% de Ocupação'!$H$1</c:f>
              <c:strCache>
                <c:ptCount val="1"/>
                <c:pt idx="0">
                  <c:v>JUL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Ocupação'!$H$4</c:f>
              <c:numCache>
                <c:formatCode>0.00%</c:formatCode>
                <c:ptCount val="1"/>
                <c:pt idx="0">
                  <c:v>0.70483870967741935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3E0-40BB-BB5F-6BA04BCD65FB}"/>
            </c:ext>
          </c:extLst>
        </c:ser>
        <c:ser>
          <c:idx val="7"/>
          <c:order val="7"/>
          <c:tx>
            <c:strRef>
              <c:f>'% de Ocupação'!$I$1</c:f>
              <c:strCache>
                <c:ptCount val="1"/>
                <c:pt idx="0">
                  <c:v>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Ocupação'!$I$4</c:f>
              <c:numCache>
                <c:formatCode>0.00%</c:formatCode>
                <c:ptCount val="1"/>
                <c:pt idx="0">
                  <c:v>0.77741935483870972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3E0-40BB-BB5F-6BA04BCD65FB}"/>
            </c:ext>
          </c:extLst>
        </c:ser>
        <c:ser>
          <c:idx val="8"/>
          <c:order val="8"/>
          <c:tx>
            <c:strRef>
              <c:f>'% de Ocupação'!$J$1</c:f>
              <c:strCache>
                <c:ptCount val="1"/>
                <c:pt idx="0">
                  <c:v>SET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Ocupação'!$J$4</c:f>
              <c:numCache>
                <c:formatCode>0.00%</c:formatCode>
                <c:ptCount val="1"/>
                <c:pt idx="0">
                  <c:v>0.76833333333333331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3E0-40BB-BB5F-6BA04BCD65FB}"/>
            </c:ext>
          </c:extLst>
        </c:ser>
        <c:ser>
          <c:idx val="9"/>
          <c:order val="9"/>
          <c:tx>
            <c:strRef>
              <c:f>'% de Ocupação'!$K$1</c:f>
              <c:strCache>
                <c:ptCount val="1"/>
                <c:pt idx="0">
                  <c:v>OUT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Ocupação'!$K$4</c:f>
              <c:numCache>
                <c:formatCode>0.00%</c:formatCode>
                <c:ptCount val="1"/>
                <c:pt idx="0">
                  <c:v>0.625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73E0-40BB-BB5F-6BA04BCD65FB}"/>
            </c:ext>
          </c:extLst>
        </c:ser>
        <c:ser>
          <c:idx val="10"/>
          <c:order val="10"/>
          <c:tx>
            <c:strRef>
              <c:f>'% de Ocupação'!$L$1</c:f>
              <c:strCache>
                <c:ptCount val="1"/>
                <c:pt idx="0">
                  <c:v>NOV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Ocupação'!$L$4</c:f>
              <c:numCache>
                <c:formatCode>0.00%</c:formatCode>
                <c:ptCount val="1"/>
                <c:pt idx="0">
                  <c:v>0.67500000000000004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73E0-40BB-BB5F-6BA04BCD65FB}"/>
            </c:ext>
          </c:extLst>
        </c:ser>
        <c:ser>
          <c:idx val="11"/>
          <c:order val="11"/>
          <c:tx>
            <c:strRef>
              <c:f>'% de Ocupação'!$M$1</c:f>
              <c:strCache>
                <c:ptCount val="1"/>
                <c:pt idx="0">
                  <c:v>DEZ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Ocupação'!$M$4</c:f>
              <c:numCache>
                <c:formatCode>0.00%</c:formatCode>
                <c:ptCount val="1"/>
                <c:pt idx="0">
                  <c:v>0.67741935483870963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73E0-40BB-BB5F-6BA04BCD65F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03254912"/>
        <c:axId val="503252952"/>
      </c:barChart>
      <c:catAx>
        <c:axId val="50325491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03252952"/>
        <c:crosses val="autoZero"/>
        <c:auto val="1"/>
        <c:lblAlgn val="ctr"/>
        <c:lblOffset val="100"/>
        <c:noMultiLvlLbl val="0"/>
      </c:catAx>
      <c:valAx>
        <c:axId val="503252952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503254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2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/>
              <a:t>% de Ocupação UTI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2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Ocupação'!$B$1</c:f>
              <c:strCache>
                <c:ptCount val="1"/>
                <c:pt idx="0">
                  <c:v>JAN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Ocupação'!$B$5</c:f>
              <c:numCache>
                <c:formatCode>0.00%</c:formatCode>
                <c:ptCount val="1"/>
                <c:pt idx="0">
                  <c:v>0.63548387096774195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D4-4434-B514-FA296507670F}"/>
            </c:ext>
          </c:extLst>
        </c:ser>
        <c:ser>
          <c:idx val="1"/>
          <c:order val="1"/>
          <c:tx>
            <c:strRef>
              <c:f>'% de Ocupação'!$C$1</c:f>
              <c:strCache>
                <c:ptCount val="1"/>
                <c:pt idx="0">
                  <c:v>FEV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Ocupação'!$C$5</c:f>
              <c:numCache>
                <c:formatCode>0.00%</c:formatCode>
                <c:ptCount val="1"/>
                <c:pt idx="0">
                  <c:v>0.61071428571428577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D4-4434-B514-FA296507670F}"/>
            </c:ext>
          </c:extLst>
        </c:ser>
        <c:ser>
          <c:idx val="2"/>
          <c:order val="2"/>
          <c:tx>
            <c:strRef>
              <c:f>'% de Ocupação'!$D$1</c:f>
              <c:strCache>
                <c:ptCount val="1"/>
                <c:pt idx="0">
                  <c:v>MAR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Ocupação'!$D$5</c:f>
              <c:numCache>
                <c:formatCode>0.00%</c:formatCode>
                <c:ptCount val="1"/>
                <c:pt idx="0">
                  <c:v>0.58064516129032262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4D4-4434-B514-FA296507670F}"/>
            </c:ext>
          </c:extLst>
        </c:ser>
        <c:ser>
          <c:idx val="3"/>
          <c:order val="3"/>
          <c:tx>
            <c:strRef>
              <c:f>'% de Ocupação'!$E$1</c:f>
              <c:strCache>
                <c:ptCount val="1"/>
                <c:pt idx="0">
                  <c:v>ABR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Ocupação'!$E$5</c:f>
              <c:numCache>
                <c:formatCode>0.00%</c:formatCode>
                <c:ptCount val="1"/>
                <c:pt idx="0">
                  <c:v>0.42666666666666669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4D4-4434-B514-FA296507670F}"/>
            </c:ext>
          </c:extLst>
        </c:ser>
        <c:ser>
          <c:idx val="4"/>
          <c:order val="4"/>
          <c:tx>
            <c:strRef>
              <c:f>'% de Ocupação'!$F$1</c:f>
              <c:strCache>
                <c:ptCount val="1"/>
                <c:pt idx="0">
                  <c:v>MAI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Ocupação'!$F$5</c:f>
              <c:numCache>
                <c:formatCode>0.00%</c:formatCode>
                <c:ptCount val="1"/>
                <c:pt idx="0">
                  <c:v>0.4258064516129032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4D4-4434-B514-FA296507670F}"/>
            </c:ext>
          </c:extLst>
        </c:ser>
        <c:ser>
          <c:idx val="5"/>
          <c:order val="5"/>
          <c:tx>
            <c:strRef>
              <c:f>'% de Ocupação'!$G$1</c:f>
              <c:strCache>
                <c:ptCount val="1"/>
                <c:pt idx="0">
                  <c:v>JUN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Ocupação'!$G$5</c:f>
              <c:numCache>
                <c:formatCode>0.00%</c:formatCode>
                <c:ptCount val="1"/>
                <c:pt idx="0">
                  <c:v>0.46333333333333332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4D4-4434-B514-FA296507670F}"/>
            </c:ext>
          </c:extLst>
        </c:ser>
        <c:ser>
          <c:idx val="6"/>
          <c:order val="6"/>
          <c:tx>
            <c:strRef>
              <c:f>'% de Ocupação'!$H$1</c:f>
              <c:strCache>
                <c:ptCount val="1"/>
                <c:pt idx="0">
                  <c:v>JUL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Ocupação'!$H$5</c:f>
              <c:numCache>
                <c:formatCode>0.00%</c:formatCode>
                <c:ptCount val="1"/>
                <c:pt idx="0">
                  <c:v>0.48064516129032259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4D4-4434-B514-FA296507670F}"/>
            </c:ext>
          </c:extLst>
        </c:ser>
        <c:ser>
          <c:idx val="7"/>
          <c:order val="7"/>
          <c:tx>
            <c:strRef>
              <c:f>'% de Ocupação'!$I$1</c:f>
              <c:strCache>
                <c:ptCount val="1"/>
                <c:pt idx="0">
                  <c:v>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Ocupação'!$I$5</c:f>
              <c:numCache>
                <c:formatCode>0.00%</c:formatCode>
                <c:ptCount val="1"/>
                <c:pt idx="0">
                  <c:v>0.61612903225806448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4D4-4434-B514-FA296507670F}"/>
            </c:ext>
          </c:extLst>
        </c:ser>
        <c:ser>
          <c:idx val="8"/>
          <c:order val="8"/>
          <c:tx>
            <c:strRef>
              <c:f>'% de Ocupação'!$J$1</c:f>
              <c:strCache>
                <c:ptCount val="1"/>
                <c:pt idx="0">
                  <c:v>SET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Ocupação'!$J$5</c:f>
              <c:numCache>
                <c:formatCode>0.00%</c:formatCode>
                <c:ptCount val="1"/>
                <c:pt idx="0">
                  <c:v>0.79666666666666663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4D4-4434-B514-FA296507670F}"/>
            </c:ext>
          </c:extLst>
        </c:ser>
        <c:ser>
          <c:idx val="9"/>
          <c:order val="9"/>
          <c:tx>
            <c:strRef>
              <c:f>'% de Ocupação'!$K$1</c:f>
              <c:strCache>
                <c:ptCount val="1"/>
                <c:pt idx="0">
                  <c:v>OUT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Ocupação'!$K$5</c:f>
              <c:numCache>
                <c:formatCode>0.00%</c:formatCode>
                <c:ptCount val="1"/>
                <c:pt idx="0">
                  <c:v>0.48709677419354841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24D4-4434-B514-FA296507670F}"/>
            </c:ext>
          </c:extLst>
        </c:ser>
        <c:ser>
          <c:idx val="10"/>
          <c:order val="10"/>
          <c:tx>
            <c:strRef>
              <c:f>'% de Ocupação'!$L$1</c:f>
              <c:strCache>
                <c:ptCount val="1"/>
                <c:pt idx="0">
                  <c:v>NOV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Ocupação'!$L$5</c:f>
              <c:numCache>
                <c:formatCode>0.00%</c:formatCode>
                <c:ptCount val="1"/>
                <c:pt idx="0">
                  <c:v>0.39666666666666667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4D4-4434-B514-FA296507670F}"/>
            </c:ext>
          </c:extLst>
        </c:ser>
        <c:ser>
          <c:idx val="11"/>
          <c:order val="11"/>
          <c:tx>
            <c:strRef>
              <c:f>'% de Ocupação'!$M$1</c:f>
              <c:strCache>
                <c:ptCount val="1"/>
                <c:pt idx="0">
                  <c:v>DEZ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Ocupação'!$M$5</c:f>
              <c:numCache>
                <c:formatCode>0.00%</c:formatCode>
                <c:ptCount val="1"/>
                <c:pt idx="0">
                  <c:v>0.50645161290322582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24D4-4434-B514-FA296507670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03255304"/>
        <c:axId val="503253736"/>
      </c:barChart>
      <c:catAx>
        <c:axId val="50325530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03253736"/>
        <c:crosses val="autoZero"/>
        <c:auto val="1"/>
        <c:lblAlgn val="ctr"/>
        <c:lblOffset val="100"/>
        <c:noMultiLvlLbl val="0"/>
      </c:catAx>
      <c:valAx>
        <c:axId val="50325373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503255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2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/>
              <a:t>% Geral de Ocupação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2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Ocupação'!$B$1</c:f>
              <c:strCache>
                <c:ptCount val="1"/>
                <c:pt idx="0">
                  <c:v>JAN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Ocupação'!$B$6</c:f>
              <c:numCache>
                <c:formatCode>0.00%</c:formatCode>
                <c:ptCount val="1"/>
                <c:pt idx="0">
                  <c:v>0.70322580645161292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5E-424A-B392-6967B7B4C8BA}"/>
            </c:ext>
          </c:extLst>
        </c:ser>
        <c:ser>
          <c:idx val="1"/>
          <c:order val="1"/>
          <c:tx>
            <c:strRef>
              <c:f>'% de Ocupação'!$C$1</c:f>
              <c:strCache>
                <c:ptCount val="1"/>
                <c:pt idx="0">
                  <c:v>FEV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Ocupação'!$C$6</c:f>
              <c:numCache>
                <c:formatCode>0.00%</c:formatCode>
                <c:ptCount val="1"/>
                <c:pt idx="0">
                  <c:v>0.70102040816326527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15E-424A-B392-6967B7B4C8BA}"/>
            </c:ext>
          </c:extLst>
        </c:ser>
        <c:ser>
          <c:idx val="2"/>
          <c:order val="2"/>
          <c:tx>
            <c:strRef>
              <c:f>'% de Ocupação'!$D$1</c:f>
              <c:strCache>
                <c:ptCount val="1"/>
                <c:pt idx="0">
                  <c:v>MAR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Ocupação'!$D$6</c:f>
              <c:numCache>
                <c:formatCode>0.00%</c:formatCode>
                <c:ptCount val="1"/>
                <c:pt idx="0">
                  <c:v>0.63548387096774195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15E-424A-B392-6967B7B4C8BA}"/>
            </c:ext>
          </c:extLst>
        </c:ser>
        <c:ser>
          <c:idx val="3"/>
          <c:order val="3"/>
          <c:tx>
            <c:strRef>
              <c:f>'% de Ocupação'!$E$1</c:f>
              <c:strCache>
                <c:ptCount val="1"/>
                <c:pt idx="0">
                  <c:v>ABR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2.802101060974013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15E-424A-B392-6967B7B4C8B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Ocupação'!$E$6</c:f>
              <c:numCache>
                <c:formatCode>0.00%</c:formatCode>
                <c:ptCount val="1"/>
                <c:pt idx="0">
                  <c:v>0.47666666666666668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15E-424A-B392-6967B7B4C8BA}"/>
            </c:ext>
          </c:extLst>
        </c:ser>
        <c:ser>
          <c:idx val="4"/>
          <c:order val="4"/>
          <c:tx>
            <c:strRef>
              <c:f>'% de Ocupação'!$F$1</c:f>
              <c:strCache>
                <c:ptCount val="1"/>
                <c:pt idx="0">
                  <c:v>MAI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Ocupação'!$F$6</c:f>
              <c:numCache>
                <c:formatCode>0.00%</c:formatCode>
                <c:ptCount val="1"/>
                <c:pt idx="0">
                  <c:v>0.42304147465437786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15E-424A-B392-6967B7B4C8BA}"/>
            </c:ext>
          </c:extLst>
        </c:ser>
        <c:ser>
          <c:idx val="5"/>
          <c:order val="5"/>
          <c:tx>
            <c:strRef>
              <c:f>'% de Ocupação'!$G$1</c:f>
              <c:strCache>
                <c:ptCount val="1"/>
                <c:pt idx="0">
                  <c:v>JUN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Ocupação'!$G$6</c:f>
              <c:numCache>
                <c:formatCode>0.00%</c:formatCode>
                <c:ptCount val="1"/>
                <c:pt idx="0">
                  <c:v>0.54619047619047623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15E-424A-B392-6967B7B4C8BA}"/>
            </c:ext>
          </c:extLst>
        </c:ser>
        <c:ser>
          <c:idx val="6"/>
          <c:order val="6"/>
          <c:tx>
            <c:strRef>
              <c:f>'% de Ocupação'!$H$1</c:f>
              <c:strCache>
                <c:ptCount val="1"/>
                <c:pt idx="0">
                  <c:v>JUL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Ocupação'!$H$6</c:f>
              <c:numCache>
                <c:formatCode>0.00%</c:formatCode>
                <c:ptCount val="1"/>
                <c:pt idx="0">
                  <c:v>0.63686635944700465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15E-424A-B392-6967B7B4C8BA}"/>
            </c:ext>
          </c:extLst>
        </c:ser>
        <c:ser>
          <c:idx val="7"/>
          <c:order val="7"/>
          <c:tx>
            <c:strRef>
              <c:f>'% de Ocupação'!$I$1</c:f>
              <c:strCache>
                <c:ptCount val="1"/>
                <c:pt idx="0">
                  <c:v>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Ocupação'!$I$6</c:f>
              <c:numCache>
                <c:formatCode>0.00%</c:formatCode>
                <c:ptCount val="1"/>
                <c:pt idx="0">
                  <c:v>0.73732718894009219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15E-424A-B392-6967B7B4C8BA}"/>
            </c:ext>
          </c:extLst>
        </c:ser>
        <c:ser>
          <c:idx val="8"/>
          <c:order val="8"/>
          <c:tx>
            <c:strRef>
              <c:f>'% de Ocupação'!$J$1</c:f>
              <c:strCache>
                <c:ptCount val="1"/>
                <c:pt idx="0">
                  <c:v>SET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Ocupação'!$J$6</c:f>
              <c:numCache>
                <c:formatCode>0.00%</c:formatCode>
                <c:ptCount val="1"/>
                <c:pt idx="0">
                  <c:v>0.72571428571428576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15E-424A-B392-6967B7B4C8BA}"/>
            </c:ext>
          </c:extLst>
        </c:ser>
        <c:ser>
          <c:idx val="9"/>
          <c:order val="9"/>
          <c:tx>
            <c:strRef>
              <c:f>'% de Ocupação'!$K$1</c:f>
              <c:strCache>
                <c:ptCount val="1"/>
                <c:pt idx="0">
                  <c:v>OUT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Ocupação'!$K$6</c:f>
              <c:numCache>
                <c:formatCode>0.00%</c:formatCode>
                <c:ptCount val="1"/>
                <c:pt idx="0">
                  <c:v>0.59262672811059913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15E-424A-B392-6967B7B4C8BA}"/>
            </c:ext>
          </c:extLst>
        </c:ser>
        <c:ser>
          <c:idx val="10"/>
          <c:order val="10"/>
          <c:tx>
            <c:strRef>
              <c:f>'% de Ocupação'!$L$1</c:f>
              <c:strCache>
                <c:ptCount val="1"/>
                <c:pt idx="0">
                  <c:v>NOV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Ocupação'!$L$6</c:f>
              <c:numCache>
                <c:formatCode>0.00%</c:formatCode>
                <c:ptCount val="1"/>
                <c:pt idx="0">
                  <c:v>0.59571428571428575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415E-424A-B392-6967B7B4C8BA}"/>
            </c:ext>
          </c:extLst>
        </c:ser>
        <c:ser>
          <c:idx val="11"/>
          <c:order val="11"/>
          <c:tx>
            <c:strRef>
              <c:f>'% de Ocupação'!$M$1</c:f>
              <c:strCache>
                <c:ptCount val="1"/>
                <c:pt idx="0">
                  <c:v>DEZ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Ocupação'!$M$6</c:f>
              <c:numCache>
                <c:formatCode>0.00%</c:formatCode>
                <c:ptCount val="1"/>
                <c:pt idx="0">
                  <c:v>0.63225806451612898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415E-424A-B392-6967B7B4C8B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03254520"/>
        <c:axId val="503256088"/>
      </c:barChart>
      <c:catAx>
        <c:axId val="50325452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03256088"/>
        <c:crosses val="autoZero"/>
        <c:auto val="1"/>
        <c:lblAlgn val="ctr"/>
        <c:lblOffset val="100"/>
        <c:noMultiLvlLbl val="0"/>
      </c:catAx>
      <c:valAx>
        <c:axId val="503256088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503254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0" normalizeH="0" baseline="0">
                <a:solidFill>
                  <a:schemeClr val="tx1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pt-BR"/>
              <a:t>Clínica Cirurgica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0" normalizeH="0" baseline="0">
              <a:solidFill>
                <a:schemeClr val="tx1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 Trimestral'!$H$2</c:f>
              <c:strCache>
                <c:ptCount val="1"/>
                <c:pt idx="0">
                  <c:v>JAN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Trimestral'!$H$3</c:f>
              <c:numCache>
                <c:formatCode>0.00%</c:formatCode>
                <c:ptCount val="1"/>
                <c:pt idx="0">
                  <c:v>0.50322580645161286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36-45AF-8790-C7B6BBDC91D9}"/>
            </c:ext>
          </c:extLst>
        </c:ser>
        <c:ser>
          <c:idx val="1"/>
          <c:order val="1"/>
          <c:tx>
            <c:strRef>
              <c:f>'% de Ocupação Trimestral'!$I$2</c:f>
              <c:strCache>
                <c:ptCount val="1"/>
                <c:pt idx="0">
                  <c:v>FEV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Trimestral'!$I$3</c:f>
              <c:numCache>
                <c:formatCode>0.00%</c:formatCode>
                <c:ptCount val="1"/>
                <c:pt idx="0">
                  <c:v>0.54642857142857137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36-45AF-8790-C7B6BBDC91D9}"/>
            </c:ext>
          </c:extLst>
        </c:ser>
        <c:ser>
          <c:idx val="2"/>
          <c:order val="2"/>
          <c:tx>
            <c:strRef>
              <c:f>'% de Ocupação Trimestral'!$J$2</c:f>
              <c:strCache>
                <c:ptCount val="1"/>
                <c:pt idx="0">
                  <c:v>MAR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Trimestral'!$J$3</c:f>
              <c:numCache>
                <c:formatCode>0.00%</c:formatCode>
                <c:ptCount val="1"/>
                <c:pt idx="0">
                  <c:v>0.41129032258064518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F36-45AF-8790-C7B6BBDC91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7"/>
        <c:overlap val="-43"/>
        <c:axId val="237887984"/>
        <c:axId val="237886024"/>
      </c:barChart>
      <c:catAx>
        <c:axId val="237887984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237886024"/>
        <c:crosses val="autoZero"/>
        <c:auto val="1"/>
        <c:lblAlgn val="ctr"/>
        <c:lblOffset val="100"/>
        <c:noMultiLvlLbl val="0"/>
      </c:catAx>
      <c:valAx>
        <c:axId val="23788602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sz="1100"/>
                  <a:t>% de Ocpuação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23788798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10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cap="none" spc="0" normalizeH="0" baseline="0">
                <a:solidFill>
                  <a:schemeClr val="tx1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pt-BR"/>
              <a:t>Clínica Médica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cap="none" spc="0" normalizeH="0" baseline="0">
              <a:solidFill>
                <a:schemeClr val="tx1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 Trimestral'!$H$2</c:f>
              <c:strCache>
                <c:ptCount val="1"/>
                <c:pt idx="0">
                  <c:v>JAN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Trimestral'!$H$4</c:f>
              <c:numCache>
                <c:formatCode>0.00%</c:formatCode>
                <c:ptCount val="1"/>
                <c:pt idx="0">
                  <c:v>0.82016129032258067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12-4DA0-8436-F1C716B90D24}"/>
            </c:ext>
          </c:extLst>
        </c:ser>
        <c:ser>
          <c:idx val="1"/>
          <c:order val="1"/>
          <c:tx>
            <c:strRef>
              <c:f>'% de Ocupação Trimestral'!$I$2</c:f>
              <c:strCache>
                <c:ptCount val="1"/>
                <c:pt idx="0">
                  <c:v>FEV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Trimestral'!$I$4</c:f>
              <c:numCache>
                <c:formatCode>0.00%</c:formatCode>
                <c:ptCount val="1"/>
                <c:pt idx="0">
                  <c:v>0.80089285714285718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312-4DA0-8436-F1C716B90D24}"/>
            </c:ext>
          </c:extLst>
        </c:ser>
        <c:ser>
          <c:idx val="2"/>
          <c:order val="2"/>
          <c:tx>
            <c:strRef>
              <c:f>'% de Ocupação Trimestral'!$J$2</c:f>
              <c:strCache>
                <c:ptCount val="1"/>
                <c:pt idx="0">
                  <c:v>MAR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Trimestral'!$J$4</c:f>
              <c:numCache>
                <c:formatCode>0.00%</c:formatCode>
                <c:ptCount val="1"/>
                <c:pt idx="0">
                  <c:v>0.76129032258064511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312-4DA0-8436-F1C716B90D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7"/>
        <c:overlap val="-43"/>
        <c:axId val="284591560"/>
        <c:axId val="329413232"/>
      </c:barChart>
      <c:catAx>
        <c:axId val="284591560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329413232"/>
        <c:crosses val="autoZero"/>
        <c:auto val="1"/>
        <c:lblAlgn val="ctr"/>
        <c:lblOffset val="100"/>
        <c:noMultiLvlLbl val="0"/>
      </c:catAx>
      <c:valAx>
        <c:axId val="329413232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sz="1100" b="1" i="0" baseline="0">
                    <a:effectLst/>
                  </a:rPr>
                  <a:t>% de Ocpuação</a:t>
                </a:r>
                <a:endParaRPr lang="pt-BR" sz="11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284591560"/>
        <c:crosses val="autoZero"/>
        <c:crossBetween val="between"/>
        <c:majorUnit val="0.1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12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cap="none" spc="0" normalizeH="0" baseline="0">
                <a:solidFill>
                  <a:schemeClr val="tx1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pt-BR"/>
              <a:t>UTI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cap="none" spc="0" normalizeH="0" baseline="0">
              <a:solidFill>
                <a:schemeClr val="tx1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 Trimestral'!$H$2</c:f>
              <c:strCache>
                <c:ptCount val="1"/>
                <c:pt idx="0">
                  <c:v>JAN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Trimestral'!$H$5</c:f>
              <c:numCache>
                <c:formatCode>0.00%</c:formatCode>
                <c:ptCount val="1"/>
                <c:pt idx="0">
                  <c:v>0.63548387096774195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D2-4E16-9747-35EA7222B229}"/>
            </c:ext>
          </c:extLst>
        </c:ser>
        <c:ser>
          <c:idx val="1"/>
          <c:order val="1"/>
          <c:tx>
            <c:strRef>
              <c:f>'% de Ocupação Trimestral'!$I$2</c:f>
              <c:strCache>
                <c:ptCount val="1"/>
                <c:pt idx="0">
                  <c:v>FEV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Trimestral'!$I$5</c:f>
              <c:numCache>
                <c:formatCode>0.00%</c:formatCode>
                <c:ptCount val="1"/>
                <c:pt idx="0">
                  <c:v>0.61071428571428577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AD2-4E16-9747-35EA7222B229}"/>
            </c:ext>
          </c:extLst>
        </c:ser>
        <c:ser>
          <c:idx val="2"/>
          <c:order val="2"/>
          <c:tx>
            <c:strRef>
              <c:f>'% de Ocupação Trimestral'!$J$2</c:f>
              <c:strCache>
                <c:ptCount val="1"/>
                <c:pt idx="0">
                  <c:v>MAR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Trimestral'!$J$5</c:f>
              <c:numCache>
                <c:formatCode>0.00%</c:formatCode>
                <c:ptCount val="1"/>
                <c:pt idx="0">
                  <c:v>0.58064516129032262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AD2-4E16-9747-35EA7222B2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7"/>
        <c:overlap val="-43"/>
        <c:axId val="527565880"/>
        <c:axId val="527564312"/>
      </c:barChart>
      <c:catAx>
        <c:axId val="527565880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527564312"/>
        <c:crosses val="autoZero"/>
        <c:auto val="1"/>
        <c:lblAlgn val="ctr"/>
        <c:lblOffset val="100"/>
        <c:noMultiLvlLbl val="0"/>
      </c:catAx>
      <c:valAx>
        <c:axId val="527564312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sz="1000"/>
                  <a:t>% de Ocpuação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527565880"/>
        <c:crosses val="autoZero"/>
        <c:crossBetween val="between"/>
        <c:majorUnit val="0.1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 sz="12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cap="none" spc="0" normalizeH="0" baseline="0">
                <a:solidFill>
                  <a:schemeClr val="tx1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pt-BR"/>
              <a:t>% Geral de Ocupação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cap="none" spc="0" normalizeH="0" baseline="0">
              <a:solidFill>
                <a:schemeClr val="tx1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 Trimestral'!$H$2</c:f>
              <c:strCache>
                <c:ptCount val="1"/>
                <c:pt idx="0">
                  <c:v>JAN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Trimestral'!$H$6</c:f>
              <c:numCache>
                <c:formatCode>0.00%</c:formatCode>
                <c:ptCount val="1"/>
                <c:pt idx="0">
                  <c:v>0.70322580645161292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93-43FC-B1B8-F16BF3E3B933}"/>
            </c:ext>
          </c:extLst>
        </c:ser>
        <c:ser>
          <c:idx val="1"/>
          <c:order val="1"/>
          <c:tx>
            <c:strRef>
              <c:f>'% de Ocupação Trimestral'!$I$2</c:f>
              <c:strCache>
                <c:ptCount val="1"/>
                <c:pt idx="0">
                  <c:v>FEV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Trimestral'!$I$6</c:f>
              <c:numCache>
                <c:formatCode>0.00%</c:formatCode>
                <c:ptCount val="1"/>
                <c:pt idx="0">
                  <c:v>0.70102040816326527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F93-43FC-B1B8-F16BF3E3B933}"/>
            </c:ext>
          </c:extLst>
        </c:ser>
        <c:ser>
          <c:idx val="2"/>
          <c:order val="2"/>
          <c:tx>
            <c:strRef>
              <c:f>'% de Ocupação Trimestral'!$J$2</c:f>
              <c:strCache>
                <c:ptCount val="1"/>
                <c:pt idx="0">
                  <c:v>MAR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Trimestral'!$J$6</c:f>
              <c:numCache>
                <c:formatCode>0.00%</c:formatCode>
                <c:ptCount val="1"/>
                <c:pt idx="0">
                  <c:v>0.63548387096774195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F93-43FC-B1B8-F16BF3E3B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7"/>
        <c:overlap val="-43"/>
        <c:axId val="527563920"/>
        <c:axId val="527564704"/>
      </c:barChart>
      <c:catAx>
        <c:axId val="527563920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527564704"/>
        <c:crosses val="autoZero"/>
        <c:auto val="1"/>
        <c:lblAlgn val="ctr"/>
        <c:lblOffset val="100"/>
        <c:noMultiLvlLbl val="0"/>
      </c:catAx>
      <c:valAx>
        <c:axId val="52756470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sz="1000"/>
                  <a:t>% de Ocpuação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527563920"/>
        <c:crosses val="autoZero"/>
        <c:crossBetween val="between"/>
        <c:majorUnit val="0.1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12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/>
              <a:t>Média de Permanência - HJB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CLINICA CIRURGICA</c:v>
          </c:tx>
          <c:spPr>
            <a:ln w="9525" cap="rnd">
              <a:solidFill>
                <a:schemeClr val="accent1"/>
              </a:solidFill>
              <a:round/>
            </a:ln>
            <a:effectLst>
              <a:outerShdw blurRad="44450" dist="21590" dir="5400000" rotWithShape="0">
                <a:srgbClr val="000000">
                  <a:alpha val="40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1">
                      <a:shade val="85000"/>
                    </a:schemeClr>
                  </a:gs>
                  <a:gs pos="100000">
                    <a:schemeClr val="accent1">
                      <a:tint val="90000"/>
                      <a:alpha val="100000"/>
                      <a:satMod val="180000"/>
                    </a:schemeClr>
                  </a:gs>
                </a:gsLst>
                <a:path path="circle">
                  <a:fillToRect l="100000" t="100000" r="100000" b="100000"/>
                </a:path>
              </a:gradFill>
              <a:ln w="9525" cap="rnd">
                <a:solidFill>
                  <a:schemeClr val="accent1"/>
                </a:solidFill>
                <a:round/>
              </a:ln>
              <a:effectLst>
                <a:outerShdw blurRad="44450" dist="21590" dir="5400000" rotWithShape="0">
                  <a:srgbClr val="000000">
                    <a:alpha val="40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flat" dir="t">
                  <a:rot lat="0" lon="0" rev="3600000"/>
                </a:lightRig>
              </a:scene3d>
              <a:sp3d prstMaterial="flat">
                <a:bevelT w="28575" h="41275" prst="coolSlant"/>
              </a:sp3d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l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'Média de Permanência'!$B$1:$M$1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xVal>
          <c:yVal>
            <c:numRef>
              <c:f>'Média de Permanência'!$B$3:$M$3</c:f>
              <c:numCache>
                <c:formatCode>#,##0.00</c:formatCode>
                <c:ptCount val="12"/>
                <c:pt idx="0">
                  <c:v>3.3913043478260869</c:v>
                </c:pt>
                <c:pt idx="1">
                  <c:v>2.8073394495412844</c:v>
                </c:pt>
                <c:pt idx="2">
                  <c:v>3.0357142857142856</c:v>
                </c:pt>
                <c:pt idx="3">
                  <c:v>4.2692307692307692</c:v>
                </c:pt>
                <c:pt idx="4">
                  <c:v>6.36</c:v>
                </c:pt>
                <c:pt idx="5">
                  <c:v>10.40625</c:v>
                </c:pt>
                <c:pt idx="6">
                  <c:v>7.8043478260869561</c:v>
                </c:pt>
                <c:pt idx="7">
                  <c:v>3.9380530973451329</c:v>
                </c:pt>
                <c:pt idx="8">
                  <c:v>3.78125</c:v>
                </c:pt>
                <c:pt idx="9">
                  <c:v>3.870967741935484</c:v>
                </c:pt>
                <c:pt idx="10">
                  <c:v>4.1306818181818183</c:v>
                </c:pt>
                <c:pt idx="11">
                  <c:v>4.274193548387097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637-4FDF-8313-332591819AC4}"/>
            </c:ext>
          </c:extLst>
        </c:ser>
        <c:ser>
          <c:idx val="1"/>
          <c:order val="1"/>
          <c:tx>
            <c:v>CLÍNICA MÉDICA</c:v>
          </c:tx>
          <c:spPr>
            <a:ln w="9525" cap="rnd">
              <a:solidFill>
                <a:schemeClr val="accent2"/>
              </a:solidFill>
              <a:round/>
            </a:ln>
            <a:effectLst>
              <a:outerShdw blurRad="44450" dist="21590" dir="5400000" rotWithShape="0">
                <a:srgbClr val="000000">
                  <a:alpha val="40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2">
                      <a:shade val="85000"/>
                    </a:schemeClr>
                  </a:gs>
                  <a:gs pos="100000">
                    <a:schemeClr val="accent2">
                      <a:tint val="90000"/>
                      <a:alpha val="100000"/>
                      <a:satMod val="180000"/>
                    </a:schemeClr>
                  </a:gs>
                </a:gsLst>
                <a:path path="circle">
                  <a:fillToRect l="100000" t="100000" r="100000" b="100000"/>
                </a:path>
              </a:gradFill>
              <a:ln w="9525" cap="rnd">
                <a:solidFill>
                  <a:schemeClr val="accent2"/>
                </a:solidFill>
                <a:round/>
              </a:ln>
              <a:effectLst>
                <a:outerShdw blurRad="44450" dist="21590" dir="5400000" rotWithShape="0">
                  <a:srgbClr val="000000">
                    <a:alpha val="40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flat" dir="t">
                  <a:rot lat="0" lon="0" rev="3600000"/>
                </a:lightRig>
              </a:scene3d>
              <a:sp3d prstMaterial="flat">
                <a:bevelT w="28575" h="41275" prst="coolSlant"/>
              </a:sp3d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l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'Média de Permanência'!$B$1:$M$1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xVal>
          <c:yVal>
            <c:numRef>
              <c:f>'Média de Permanência'!$B$4:$M$4</c:f>
              <c:numCache>
                <c:formatCode>#,##0.00</c:formatCode>
                <c:ptCount val="12"/>
                <c:pt idx="0">
                  <c:v>16.142857142857142</c:v>
                </c:pt>
                <c:pt idx="1">
                  <c:v>14.015625</c:v>
                </c:pt>
                <c:pt idx="2">
                  <c:v>14.75</c:v>
                </c:pt>
                <c:pt idx="3">
                  <c:v>11.545454545454545</c:v>
                </c:pt>
                <c:pt idx="4">
                  <c:v>14.928571428571429</c:v>
                </c:pt>
                <c:pt idx="5">
                  <c:v>11.25</c:v>
                </c:pt>
                <c:pt idx="6">
                  <c:v>13.242424242424242</c:v>
                </c:pt>
                <c:pt idx="7">
                  <c:v>16.620689655172413</c:v>
                </c:pt>
                <c:pt idx="8">
                  <c:v>12.805555555555555</c:v>
                </c:pt>
                <c:pt idx="9">
                  <c:v>5.8712121212121211</c:v>
                </c:pt>
                <c:pt idx="10">
                  <c:v>9.6428571428571423</c:v>
                </c:pt>
                <c:pt idx="11">
                  <c:v>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637-4FDF-8313-332591819AC4}"/>
            </c:ext>
          </c:extLst>
        </c:ser>
        <c:ser>
          <c:idx val="2"/>
          <c:order val="2"/>
          <c:tx>
            <c:v>UTI</c:v>
          </c:tx>
          <c:spPr>
            <a:ln w="9525" cap="rnd">
              <a:solidFill>
                <a:schemeClr val="accent3"/>
              </a:solidFill>
              <a:round/>
            </a:ln>
            <a:effectLst>
              <a:outerShdw blurRad="44450" dist="21590" dir="5400000" rotWithShape="0">
                <a:srgbClr val="000000">
                  <a:alpha val="40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3">
                      <a:shade val="85000"/>
                    </a:schemeClr>
                  </a:gs>
                  <a:gs pos="100000">
                    <a:schemeClr val="accent3">
                      <a:tint val="90000"/>
                      <a:alpha val="100000"/>
                      <a:satMod val="180000"/>
                    </a:schemeClr>
                  </a:gs>
                </a:gsLst>
                <a:path path="circle">
                  <a:fillToRect l="100000" t="100000" r="100000" b="100000"/>
                </a:path>
              </a:gradFill>
              <a:ln w="9525" cap="rnd">
                <a:solidFill>
                  <a:schemeClr val="accent3"/>
                </a:solidFill>
                <a:round/>
              </a:ln>
              <a:effectLst>
                <a:outerShdw blurRad="44450" dist="21590" dir="5400000" rotWithShape="0">
                  <a:srgbClr val="000000">
                    <a:alpha val="40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flat" dir="t">
                  <a:rot lat="0" lon="0" rev="3600000"/>
                </a:lightRig>
              </a:scene3d>
              <a:sp3d prstMaterial="flat">
                <a:bevelT w="28575" h="41275" prst="coolSlant"/>
              </a:sp3d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l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'Média de Permanência'!$B$1:$M$1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xVal>
          <c:yVal>
            <c:numRef>
              <c:f>'Média de Permanência'!$B$5:$M$5</c:f>
              <c:numCache>
                <c:formatCode>#,##0.00</c:formatCode>
                <c:ptCount val="12"/>
                <c:pt idx="0">
                  <c:v>5.7941176470588234</c:v>
                </c:pt>
                <c:pt idx="1">
                  <c:v>4.8857142857142861</c:v>
                </c:pt>
                <c:pt idx="2">
                  <c:v>6.9230769230769234</c:v>
                </c:pt>
                <c:pt idx="3">
                  <c:v>7.5294117647058822</c:v>
                </c:pt>
                <c:pt idx="4">
                  <c:v>7.7647058823529411</c:v>
                </c:pt>
                <c:pt idx="5">
                  <c:v>5.3461538461538458</c:v>
                </c:pt>
                <c:pt idx="6">
                  <c:v>5.1379310344827589</c:v>
                </c:pt>
                <c:pt idx="7">
                  <c:v>5.3055555555555554</c:v>
                </c:pt>
                <c:pt idx="8">
                  <c:v>9.1923076923076916</c:v>
                </c:pt>
                <c:pt idx="9">
                  <c:v>7.9473684210526319</c:v>
                </c:pt>
                <c:pt idx="10">
                  <c:v>6.6111111111111107</c:v>
                </c:pt>
                <c:pt idx="11">
                  <c:v>6.8260869565217392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637-4FDF-8313-332591819AC4}"/>
            </c:ext>
          </c:extLst>
        </c:ser>
        <c:ser>
          <c:idx val="3"/>
          <c:order val="3"/>
          <c:tx>
            <c:v>MÉDIA GERAL</c:v>
          </c:tx>
          <c:spPr>
            <a:ln w="9525" cap="rnd">
              <a:solidFill>
                <a:schemeClr val="accent4"/>
              </a:solidFill>
              <a:round/>
            </a:ln>
            <a:effectLst>
              <a:outerShdw blurRad="44450" dist="21590" dir="5400000" rotWithShape="0">
                <a:srgbClr val="000000">
                  <a:alpha val="40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4">
                      <a:shade val="85000"/>
                    </a:schemeClr>
                  </a:gs>
                  <a:gs pos="100000">
                    <a:schemeClr val="accent4">
                      <a:tint val="90000"/>
                      <a:alpha val="100000"/>
                      <a:satMod val="180000"/>
                    </a:schemeClr>
                  </a:gs>
                </a:gsLst>
                <a:path path="circle">
                  <a:fillToRect l="100000" t="100000" r="100000" b="100000"/>
                </a:path>
              </a:gradFill>
              <a:ln w="9525" cap="rnd">
                <a:solidFill>
                  <a:schemeClr val="accent4"/>
                </a:solidFill>
                <a:round/>
              </a:ln>
              <a:effectLst>
                <a:outerShdw blurRad="44450" dist="21590" dir="5400000" rotWithShape="0">
                  <a:srgbClr val="000000">
                    <a:alpha val="40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flat" dir="t">
                  <a:rot lat="0" lon="0" rev="3600000"/>
                </a:lightRig>
              </a:scene3d>
              <a:sp3d prstMaterial="flat">
                <a:bevelT w="28575" h="41275" prst="coolSlant"/>
              </a:sp3d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l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'Média de Permanência'!$B$1:$M$1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xVal>
          <c:yVal>
            <c:numRef>
              <c:f>'Média de Permanência'!$B$6:$M$6</c:f>
              <c:numCache>
                <c:formatCode>#,##0.00</c:formatCode>
                <c:ptCount val="12"/>
                <c:pt idx="0">
                  <c:v>8.0740740740740744</c:v>
                </c:pt>
                <c:pt idx="1">
                  <c:v>6.6057692307692308</c:v>
                </c:pt>
                <c:pt idx="2">
                  <c:v>7.9252873563218387</c:v>
                </c:pt>
                <c:pt idx="3">
                  <c:v>9.1834862385321099</c:v>
                </c:pt>
                <c:pt idx="4">
                  <c:v>10.928571428571429</c:v>
                </c:pt>
                <c:pt idx="5">
                  <c:v>9.7203389830508478</c:v>
                </c:pt>
                <c:pt idx="6">
                  <c:v>9.8014184397163113</c:v>
                </c:pt>
                <c:pt idx="7">
                  <c:v>7.7294685990338161</c:v>
                </c:pt>
                <c:pt idx="8">
                  <c:v>7.8556701030927831</c:v>
                </c:pt>
                <c:pt idx="9">
                  <c:v>5.2704918032786887</c:v>
                </c:pt>
                <c:pt idx="10">
                  <c:v>5.3008474576271185</c:v>
                </c:pt>
                <c:pt idx="11">
                  <c:v>5.7890295358649793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637-4FDF-8313-332591819AC4}"/>
            </c:ext>
          </c:extLst>
        </c:ser>
        <c:dLbls>
          <c:dLblPos val="l"/>
          <c:showLegendKey val="0"/>
          <c:showVal val="1"/>
          <c:showCatName val="0"/>
          <c:showSerName val="0"/>
          <c:showPercent val="0"/>
          <c:showBubbleSize val="0"/>
        </c:dLbls>
        <c:axId val="527565488"/>
        <c:axId val="527567056"/>
      </c:scatterChart>
      <c:valAx>
        <c:axId val="527565488"/>
        <c:scaling>
          <c:orientation val="minMax"/>
          <c:max val="1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527567056"/>
        <c:crosses val="autoZero"/>
        <c:crossBetween val="midCat"/>
        <c:majorUnit val="1"/>
      </c:valAx>
      <c:valAx>
        <c:axId val="527567056"/>
        <c:scaling>
          <c:orientation val="minMax"/>
          <c:max val="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5275654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iagrams/_rels/data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iagram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7699C918-4261-4FA4-A537-C6F58985AAEB}" type="doc">
      <dgm:prSet loTypeId="urn:microsoft.com/office/officeart/2008/layout/CircularPictureCallout" loCatId="picture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pt-BR"/>
        </a:p>
      </dgm:t>
    </dgm:pt>
    <dgm:pt modelId="{19ED1106-331D-4ECC-9582-0E340AF4682F}">
      <dgm:prSet/>
      <dgm:spPr/>
      <dgm:t>
        <a:bodyPr/>
        <a:lstStyle/>
        <a:p>
          <a:endParaRPr lang="pt-BR"/>
        </a:p>
      </dgm:t>
    </dgm:pt>
    <dgm:pt modelId="{71D17BAE-3325-4AF0-80AC-526A7F7849C3}" type="parTrans" cxnId="{C99F14E3-EE3B-4A1D-9AB3-D810287153F2}">
      <dgm:prSet/>
      <dgm:spPr/>
      <dgm:t>
        <a:bodyPr/>
        <a:lstStyle/>
        <a:p>
          <a:endParaRPr lang="pt-BR"/>
        </a:p>
      </dgm:t>
    </dgm:pt>
    <dgm:pt modelId="{66E7623F-2153-4BEB-B535-9AB6DA3DBBB3}" type="sibTrans" cxnId="{C99F14E3-EE3B-4A1D-9AB3-D810287153F2}">
      <dgm:prSet/>
      <dgm:spPr>
        <a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dgm:spPr>
      <dgm:t>
        <a:bodyPr/>
        <a:lstStyle/>
        <a:p>
          <a:endParaRPr lang="pt-BR"/>
        </a:p>
      </dgm:t>
    </dgm:pt>
    <dgm:pt modelId="{729C4984-2748-47C2-B870-E322F43EC808}">
      <dgm:prSet phldrT="[Texto]" phldr="1"/>
      <dgm:spPr/>
      <dgm:t>
        <a:bodyPr/>
        <a:lstStyle/>
        <a:p>
          <a:endParaRPr lang="pt-BR"/>
        </a:p>
      </dgm:t>
    </dgm:pt>
    <dgm:pt modelId="{23C0818C-32D8-45E6-A5FC-81294740E9FE}" type="parTrans" cxnId="{771EE581-4300-46D4-8C68-8B487E2A2F90}">
      <dgm:prSet/>
      <dgm:spPr/>
      <dgm:t>
        <a:bodyPr/>
        <a:lstStyle/>
        <a:p>
          <a:endParaRPr lang="pt-BR"/>
        </a:p>
      </dgm:t>
    </dgm:pt>
    <dgm:pt modelId="{26F637CB-A0F3-4DE8-A00E-60480C7CCAC5}" type="sibTrans" cxnId="{771EE581-4300-46D4-8C68-8B487E2A2F90}">
      <dgm:prSet/>
      <dgm:spPr/>
      <dgm:t>
        <a:bodyPr/>
        <a:lstStyle/>
        <a:p>
          <a:endParaRPr lang="pt-BR"/>
        </a:p>
      </dgm:t>
    </dgm:pt>
    <dgm:pt modelId="{E29A4729-8DAE-4416-92DE-C01225C67F1B}">
      <dgm:prSet phldrT="[Texto]" phldr="1"/>
      <dgm:spPr/>
      <dgm:t>
        <a:bodyPr/>
        <a:lstStyle/>
        <a:p>
          <a:endParaRPr lang="pt-BR"/>
        </a:p>
      </dgm:t>
    </dgm:pt>
    <dgm:pt modelId="{3587BC5E-203F-4CD2-BB6C-7A9C2203FA91}" type="parTrans" cxnId="{09BA8EFB-267D-4521-B00C-AA6A47D605A0}">
      <dgm:prSet/>
      <dgm:spPr/>
      <dgm:t>
        <a:bodyPr/>
        <a:lstStyle/>
        <a:p>
          <a:endParaRPr lang="pt-BR"/>
        </a:p>
      </dgm:t>
    </dgm:pt>
    <dgm:pt modelId="{CA969B67-0478-4074-8BD5-F3959DBF31E2}" type="sibTrans" cxnId="{09BA8EFB-267D-4521-B00C-AA6A47D605A0}">
      <dgm:prSet/>
      <dgm:spPr/>
      <dgm:t>
        <a:bodyPr/>
        <a:lstStyle/>
        <a:p>
          <a:endParaRPr lang="pt-BR"/>
        </a:p>
      </dgm:t>
    </dgm:pt>
    <dgm:pt modelId="{58631CD4-3B06-429E-AB07-9F2CA905A188}">
      <dgm:prSet phldrT="[Texto]" phldr="1"/>
      <dgm:spPr/>
      <dgm:t>
        <a:bodyPr/>
        <a:lstStyle/>
        <a:p>
          <a:endParaRPr lang="pt-BR"/>
        </a:p>
      </dgm:t>
    </dgm:pt>
    <dgm:pt modelId="{8FA83F48-7101-4BD3-8604-C7C0123EE38E}" type="parTrans" cxnId="{72E29E9D-D446-4505-BB35-CD37949FDA52}">
      <dgm:prSet/>
      <dgm:spPr/>
      <dgm:t>
        <a:bodyPr/>
        <a:lstStyle/>
        <a:p>
          <a:endParaRPr lang="pt-BR"/>
        </a:p>
      </dgm:t>
    </dgm:pt>
    <dgm:pt modelId="{8CEF74EB-2E11-435D-B010-BB1BB34B2163}" type="sibTrans" cxnId="{72E29E9D-D446-4505-BB35-CD37949FDA52}">
      <dgm:prSet/>
      <dgm:spPr/>
      <dgm:t>
        <a:bodyPr/>
        <a:lstStyle/>
        <a:p>
          <a:endParaRPr lang="pt-BR"/>
        </a:p>
      </dgm:t>
    </dgm:pt>
    <dgm:pt modelId="{A87CFBB5-18F4-4421-A602-FBBC1A5530AE}" type="pres">
      <dgm:prSet presAssocID="{7699C918-4261-4FA4-A537-C6F58985AAEB}" presName="Name0" presStyleCnt="0">
        <dgm:presLayoutVars>
          <dgm:chMax val="7"/>
          <dgm:chPref val="7"/>
          <dgm:dir/>
        </dgm:presLayoutVars>
      </dgm:prSet>
      <dgm:spPr/>
    </dgm:pt>
    <dgm:pt modelId="{BBF0B8F4-D944-47A8-9EB3-6C40CA336E75}" type="pres">
      <dgm:prSet presAssocID="{7699C918-4261-4FA4-A537-C6F58985AAEB}" presName="Name1" presStyleCnt="0"/>
      <dgm:spPr/>
    </dgm:pt>
    <dgm:pt modelId="{53F03547-077F-48BC-912E-61FC0A6839E0}" type="pres">
      <dgm:prSet presAssocID="{66E7623F-2153-4BEB-B535-9AB6DA3DBBB3}" presName="picture_1" presStyleCnt="0"/>
      <dgm:spPr/>
    </dgm:pt>
    <dgm:pt modelId="{0C98464E-73A4-404B-BE0C-7AE7665E1BA8}" type="pres">
      <dgm:prSet presAssocID="{66E7623F-2153-4BEB-B535-9AB6DA3DBBB3}" presName="pictureRepeatNode" presStyleLbl="alignImgPlace1" presStyleIdx="0" presStyleCnt="4"/>
      <dgm:spPr/>
    </dgm:pt>
    <dgm:pt modelId="{6CEBB7AA-2BBB-4870-A9FD-A91D4D099AD4}" type="pres">
      <dgm:prSet presAssocID="{19ED1106-331D-4ECC-9582-0E340AF4682F}" presName="text_1" presStyleLbl="node1" presStyleIdx="0" presStyleCnt="0">
        <dgm:presLayoutVars>
          <dgm:bulletEnabled val="1"/>
        </dgm:presLayoutVars>
      </dgm:prSet>
      <dgm:spPr/>
    </dgm:pt>
    <dgm:pt modelId="{C4FA22A5-4F32-4BDC-B309-DB386998EAEC}" type="pres">
      <dgm:prSet presAssocID="{26F637CB-A0F3-4DE8-A00E-60480C7CCAC5}" presName="picture_2" presStyleCnt="0"/>
      <dgm:spPr/>
    </dgm:pt>
    <dgm:pt modelId="{60DC80F9-B64B-4DA4-A22B-479E8559F9CD}" type="pres">
      <dgm:prSet presAssocID="{26F637CB-A0F3-4DE8-A00E-60480C7CCAC5}" presName="pictureRepeatNode" presStyleLbl="alignImgPlace1" presStyleIdx="1" presStyleCnt="4"/>
      <dgm:spPr/>
    </dgm:pt>
    <dgm:pt modelId="{9976AFC2-1656-4FBF-90D7-F42CEAC2FA50}" type="pres">
      <dgm:prSet presAssocID="{729C4984-2748-47C2-B870-E322F43EC808}" presName="line_2" presStyleLbl="parChTrans1D1" presStyleIdx="0" presStyleCnt="3"/>
      <dgm:spPr/>
    </dgm:pt>
    <dgm:pt modelId="{BAD91706-9918-493F-AF2F-147234F1193F}" type="pres">
      <dgm:prSet presAssocID="{729C4984-2748-47C2-B870-E322F43EC808}" presName="textparent_2" presStyleLbl="node1" presStyleIdx="0" presStyleCnt="0"/>
      <dgm:spPr/>
    </dgm:pt>
    <dgm:pt modelId="{F132CBB6-0477-48C1-B076-15409ED56212}" type="pres">
      <dgm:prSet presAssocID="{729C4984-2748-47C2-B870-E322F43EC808}" presName="text_2" presStyleLbl="revTx" presStyleIdx="0" presStyleCnt="3">
        <dgm:presLayoutVars>
          <dgm:bulletEnabled val="1"/>
        </dgm:presLayoutVars>
      </dgm:prSet>
      <dgm:spPr/>
    </dgm:pt>
    <dgm:pt modelId="{CF265F38-19B1-4F28-A805-5B65DF71A2A5}" type="pres">
      <dgm:prSet presAssocID="{CA969B67-0478-4074-8BD5-F3959DBF31E2}" presName="picture_3" presStyleCnt="0"/>
      <dgm:spPr/>
    </dgm:pt>
    <dgm:pt modelId="{034B5567-3AAA-46CC-8A7D-2E40576DEA55}" type="pres">
      <dgm:prSet presAssocID="{CA969B67-0478-4074-8BD5-F3959DBF31E2}" presName="pictureRepeatNode" presStyleLbl="alignImgPlace1" presStyleIdx="2" presStyleCnt="4"/>
      <dgm:spPr/>
    </dgm:pt>
    <dgm:pt modelId="{79582ED9-EC86-43A2-8DDE-B7B6EDE7E5DC}" type="pres">
      <dgm:prSet presAssocID="{E29A4729-8DAE-4416-92DE-C01225C67F1B}" presName="line_3" presStyleLbl="parChTrans1D1" presStyleIdx="1" presStyleCnt="3"/>
      <dgm:spPr/>
    </dgm:pt>
    <dgm:pt modelId="{26975ED6-4F03-4A6F-9884-1C85E3466479}" type="pres">
      <dgm:prSet presAssocID="{E29A4729-8DAE-4416-92DE-C01225C67F1B}" presName="textparent_3" presStyleLbl="node1" presStyleIdx="0" presStyleCnt="0"/>
      <dgm:spPr/>
    </dgm:pt>
    <dgm:pt modelId="{8D21688D-56F5-42E4-A9D4-D4BFA12EDA10}" type="pres">
      <dgm:prSet presAssocID="{E29A4729-8DAE-4416-92DE-C01225C67F1B}" presName="text_3" presStyleLbl="revTx" presStyleIdx="1" presStyleCnt="3">
        <dgm:presLayoutVars>
          <dgm:bulletEnabled val="1"/>
        </dgm:presLayoutVars>
      </dgm:prSet>
      <dgm:spPr/>
    </dgm:pt>
    <dgm:pt modelId="{C18799E8-D01F-4834-879E-B196B3821F3F}" type="pres">
      <dgm:prSet presAssocID="{8CEF74EB-2E11-435D-B010-BB1BB34B2163}" presName="picture_4" presStyleCnt="0"/>
      <dgm:spPr/>
    </dgm:pt>
    <dgm:pt modelId="{4D5180D4-EF8A-4C29-8BD4-B1B68CC3296B}" type="pres">
      <dgm:prSet presAssocID="{8CEF74EB-2E11-435D-B010-BB1BB34B2163}" presName="pictureRepeatNode" presStyleLbl="alignImgPlace1" presStyleIdx="3" presStyleCnt="4" custScaleX="129645" custScaleY="143056"/>
      <dgm:spPr/>
    </dgm:pt>
    <dgm:pt modelId="{F50C1236-A0CB-49A3-AB51-17391D2CB7CB}" type="pres">
      <dgm:prSet presAssocID="{58631CD4-3B06-429E-AB07-9F2CA905A188}" presName="line_4" presStyleLbl="parChTrans1D1" presStyleIdx="2" presStyleCnt="3"/>
      <dgm:spPr/>
    </dgm:pt>
    <dgm:pt modelId="{48EDBBC6-6328-4381-817D-21F3A3055A33}" type="pres">
      <dgm:prSet presAssocID="{58631CD4-3B06-429E-AB07-9F2CA905A188}" presName="textparent_4" presStyleLbl="node1" presStyleIdx="0" presStyleCnt="0"/>
      <dgm:spPr/>
    </dgm:pt>
    <dgm:pt modelId="{C2125B98-E053-45A7-A7E2-D42F0ACC9E25}" type="pres">
      <dgm:prSet presAssocID="{58631CD4-3B06-429E-AB07-9F2CA905A188}" presName="text_4" presStyleLbl="revTx" presStyleIdx="2" presStyleCnt="3">
        <dgm:presLayoutVars>
          <dgm:bulletEnabled val="1"/>
        </dgm:presLayoutVars>
      </dgm:prSet>
      <dgm:spPr/>
    </dgm:pt>
  </dgm:ptLst>
  <dgm:cxnLst>
    <dgm:cxn modelId="{55A16800-025B-4F56-8CBB-750476B3503A}" type="presOf" srcId="{CA969B67-0478-4074-8BD5-F3959DBF31E2}" destId="{034B5567-3AAA-46CC-8A7D-2E40576DEA55}" srcOrd="0" destOrd="0" presId="urn:microsoft.com/office/officeart/2008/layout/CircularPictureCallout"/>
    <dgm:cxn modelId="{E592D70D-BF7F-49B7-A797-D28A3E886026}" type="presOf" srcId="{66E7623F-2153-4BEB-B535-9AB6DA3DBBB3}" destId="{0C98464E-73A4-404B-BE0C-7AE7665E1BA8}" srcOrd="0" destOrd="0" presId="urn:microsoft.com/office/officeart/2008/layout/CircularPictureCallout"/>
    <dgm:cxn modelId="{D7B97A40-721B-477C-BE1A-EAF987EB2133}" type="presOf" srcId="{58631CD4-3B06-429E-AB07-9F2CA905A188}" destId="{C2125B98-E053-45A7-A7E2-D42F0ACC9E25}" srcOrd="0" destOrd="0" presId="urn:microsoft.com/office/officeart/2008/layout/CircularPictureCallout"/>
    <dgm:cxn modelId="{90ADC060-FD55-4FC2-A7E4-817E5129F2DB}" type="presOf" srcId="{729C4984-2748-47C2-B870-E322F43EC808}" destId="{F132CBB6-0477-48C1-B076-15409ED56212}" srcOrd="0" destOrd="0" presId="urn:microsoft.com/office/officeart/2008/layout/CircularPictureCallout"/>
    <dgm:cxn modelId="{380E037D-2D8C-4CD1-BE8C-6DE8470B447F}" type="presOf" srcId="{8CEF74EB-2E11-435D-B010-BB1BB34B2163}" destId="{4D5180D4-EF8A-4C29-8BD4-B1B68CC3296B}" srcOrd="0" destOrd="0" presId="urn:microsoft.com/office/officeart/2008/layout/CircularPictureCallout"/>
    <dgm:cxn modelId="{771EE581-4300-46D4-8C68-8B487E2A2F90}" srcId="{7699C918-4261-4FA4-A537-C6F58985AAEB}" destId="{729C4984-2748-47C2-B870-E322F43EC808}" srcOrd="1" destOrd="0" parTransId="{23C0818C-32D8-45E6-A5FC-81294740E9FE}" sibTransId="{26F637CB-A0F3-4DE8-A00E-60480C7CCAC5}"/>
    <dgm:cxn modelId="{AE3B4095-9534-4DBD-8279-4597D7155CFB}" type="presOf" srcId="{26F637CB-A0F3-4DE8-A00E-60480C7CCAC5}" destId="{60DC80F9-B64B-4DA4-A22B-479E8559F9CD}" srcOrd="0" destOrd="0" presId="urn:microsoft.com/office/officeart/2008/layout/CircularPictureCallout"/>
    <dgm:cxn modelId="{72E29E9D-D446-4505-BB35-CD37949FDA52}" srcId="{7699C918-4261-4FA4-A537-C6F58985AAEB}" destId="{58631CD4-3B06-429E-AB07-9F2CA905A188}" srcOrd="3" destOrd="0" parTransId="{8FA83F48-7101-4BD3-8604-C7C0123EE38E}" sibTransId="{8CEF74EB-2E11-435D-B010-BB1BB34B2163}"/>
    <dgm:cxn modelId="{321E70A8-317C-4012-A3D6-6BB4993D3791}" type="presOf" srcId="{19ED1106-331D-4ECC-9582-0E340AF4682F}" destId="{6CEBB7AA-2BBB-4870-A9FD-A91D4D099AD4}" srcOrd="0" destOrd="0" presId="urn:microsoft.com/office/officeart/2008/layout/CircularPictureCallout"/>
    <dgm:cxn modelId="{A30B31B1-2AF9-4736-BDC8-A647A8BBB4FC}" type="presOf" srcId="{7699C918-4261-4FA4-A537-C6F58985AAEB}" destId="{A87CFBB5-18F4-4421-A602-FBBC1A5530AE}" srcOrd="0" destOrd="0" presId="urn:microsoft.com/office/officeart/2008/layout/CircularPictureCallout"/>
    <dgm:cxn modelId="{C99F14E3-EE3B-4A1D-9AB3-D810287153F2}" srcId="{7699C918-4261-4FA4-A537-C6F58985AAEB}" destId="{19ED1106-331D-4ECC-9582-0E340AF4682F}" srcOrd="0" destOrd="0" parTransId="{71D17BAE-3325-4AF0-80AC-526A7F7849C3}" sibTransId="{66E7623F-2153-4BEB-B535-9AB6DA3DBBB3}"/>
    <dgm:cxn modelId="{F1E4B2F4-141F-480A-9EC5-6BB0C3A9A2AA}" type="presOf" srcId="{E29A4729-8DAE-4416-92DE-C01225C67F1B}" destId="{8D21688D-56F5-42E4-A9D4-D4BFA12EDA10}" srcOrd="0" destOrd="0" presId="urn:microsoft.com/office/officeart/2008/layout/CircularPictureCallout"/>
    <dgm:cxn modelId="{09BA8EFB-267D-4521-B00C-AA6A47D605A0}" srcId="{7699C918-4261-4FA4-A537-C6F58985AAEB}" destId="{E29A4729-8DAE-4416-92DE-C01225C67F1B}" srcOrd="2" destOrd="0" parTransId="{3587BC5E-203F-4CD2-BB6C-7A9C2203FA91}" sibTransId="{CA969B67-0478-4074-8BD5-F3959DBF31E2}"/>
    <dgm:cxn modelId="{7389347F-ACCE-4523-960D-3CEEF9052D49}" type="presParOf" srcId="{A87CFBB5-18F4-4421-A602-FBBC1A5530AE}" destId="{BBF0B8F4-D944-47A8-9EB3-6C40CA336E75}" srcOrd="0" destOrd="0" presId="urn:microsoft.com/office/officeart/2008/layout/CircularPictureCallout"/>
    <dgm:cxn modelId="{92569354-85A4-4774-AD3F-12CC48AE5B8D}" type="presParOf" srcId="{BBF0B8F4-D944-47A8-9EB3-6C40CA336E75}" destId="{53F03547-077F-48BC-912E-61FC0A6839E0}" srcOrd="0" destOrd="0" presId="urn:microsoft.com/office/officeart/2008/layout/CircularPictureCallout"/>
    <dgm:cxn modelId="{615604D4-83FB-43B2-8742-BC5A626DB7F9}" type="presParOf" srcId="{53F03547-077F-48BC-912E-61FC0A6839E0}" destId="{0C98464E-73A4-404B-BE0C-7AE7665E1BA8}" srcOrd="0" destOrd="0" presId="urn:microsoft.com/office/officeart/2008/layout/CircularPictureCallout"/>
    <dgm:cxn modelId="{E41361E0-1A48-449F-8C5D-F55AA93282C1}" type="presParOf" srcId="{BBF0B8F4-D944-47A8-9EB3-6C40CA336E75}" destId="{6CEBB7AA-2BBB-4870-A9FD-A91D4D099AD4}" srcOrd="1" destOrd="0" presId="urn:microsoft.com/office/officeart/2008/layout/CircularPictureCallout"/>
    <dgm:cxn modelId="{628813A4-328C-49AE-BD8F-2772C3B1B195}" type="presParOf" srcId="{BBF0B8F4-D944-47A8-9EB3-6C40CA336E75}" destId="{C4FA22A5-4F32-4BDC-B309-DB386998EAEC}" srcOrd="2" destOrd="0" presId="urn:microsoft.com/office/officeart/2008/layout/CircularPictureCallout"/>
    <dgm:cxn modelId="{E16350DC-40EB-4673-88E8-61CD7CC7E1BB}" type="presParOf" srcId="{C4FA22A5-4F32-4BDC-B309-DB386998EAEC}" destId="{60DC80F9-B64B-4DA4-A22B-479E8559F9CD}" srcOrd="0" destOrd="0" presId="urn:microsoft.com/office/officeart/2008/layout/CircularPictureCallout"/>
    <dgm:cxn modelId="{B5E70109-1BAC-4B32-A021-E1B66E3F87E4}" type="presParOf" srcId="{BBF0B8F4-D944-47A8-9EB3-6C40CA336E75}" destId="{9976AFC2-1656-4FBF-90D7-F42CEAC2FA50}" srcOrd="3" destOrd="0" presId="urn:microsoft.com/office/officeart/2008/layout/CircularPictureCallout"/>
    <dgm:cxn modelId="{EDE2F011-4AD3-4C62-A40A-EE41FF5F62F5}" type="presParOf" srcId="{BBF0B8F4-D944-47A8-9EB3-6C40CA336E75}" destId="{BAD91706-9918-493F-AF2F-147234F1193F}" srcOrd="4" destOrd="0" presId="urn:microsoft.com/office/officeart/2008/layout/CircularPictureCallout"/>
    <dgm:cxn modelId="{C324DE74-9F33-4CB9-9BB9-36176C054034}" type="presParOf" srcId="{BAD91706-9918-493F-AF2F-147234F1193F}" destId="{F132CBB6-0477-48C1-B076-15409ED56212}" srcOrd="0" destOrd="0" presId="urn:microsoft.com/office/officeart/2008/layout/CircularPictureCallout"/>
    <dgm:cxn modelId="{EDD7667A-C8D3-44F1-BC52-8BB9434340A9}" type="presParOf" srcId="{BBF0B8F4-D944-47A8-9EB3-6C40CA336E75}" destId="{CF265F38-19B1-4F28-A805-5B65DF71A2A5}" srcOrd="5" destOrd="0" presId="urn:microsoft.com/office/officeart/2008/layout/CircularPictureCallout"/>
    <dgm:cxn modelId="{51A540A2-DE4A-4E5E-9B12-5171BAC524FD}" type="presParOf" srcId="{CF265F38-19B1-4F28-A805-5B65DF71A2A5}" destId="{034B5567-3AAA-46CC-8A7D-2E40576DEA55}" srcOrd="0" destOrd="0" presId="urn:microsoft.com/office/officeart/2008/layout/CircularPictureCallout"/>
    <dgm:cxn modelId="{B6E8384E-1BCE-4903-9393-C0D74D651E0A}" type="presParOf" srcId="{BBF0B8F4-D944-47A8-9EB3-6C40CA336E75}" destId="{79582ED9-EC86-43A2-8DDE-B7B6EDE7E5DC}" srcOrd="6" destOrd="0" presId="urn:microsoft.com/office/officeart/2008/layout/CircularPictureCallout"/>
    <dgm:cxn modelId="{D726F8C0-95EF-439E-A220-7CA388A3A926}" type="presParOf" srcId="{BBF0B8F4-D944-47A8-9EB3-6C40CA336E75}" destId="{26975ED6-4F03-4A6F-9884-1C85E3466479}" srcOrd="7" destOrd="0" presId="urn:microsoft.com/office/officeart/2008/layout/CircularPictureCallout"/>
    <dgm:cxn modelId="{D4B1BAC6-12F1-432C-902C-75DADBDC10E8}" type="presParOf" srcId="{26975ED6-4F03-4A6F-9884-1C85E3466479}" destId="{8D21688D-56F5-42E4-A9D4-D4BFA12EDA10}" srcOrd="0" destOrd="0" presId="urn:microsoft.com/office/officeart/2008/layout/CircularPictureCallout"/>
    <dgm:cxn modelId="{4CFA386B-3830-45A3-8E9B-54641222E6B2}" type="presParOf" srcId="{BBF0B8F4-D944-47A8-9EB3-6C40CA336E75}" destId="{C18799E8-D01F-4834-879E-B196B3821F3F}" srcOrd="8" destOrd="0" presId="urn:microsoft.com/office/officeart/2008/layout/CircularPictureCallout"/>
    <dgm:cxn modelId="{4EF9E726-DD52-49C5-B166-E90DBCAFDC03}" type="presParOf" srcId="{C18799E8-D01F-4834-879E-B196B3821F3F}" destId="{4D5180D4-EF8A-4C29-8BD4-B1B68CC3296B}" srcOrd="0" destOrd="0" presId="urn:microsoft.com/office/officeart/2008/layout/CircularPictureCallout"/>
    <dgm:cxn modelId="{A1FE4A18-E125-4F6B-97F9-2F133DCE999D}" type="presParOf" srcId="{BBF0B8F4-D944-47A8-9EB3-6C40CA336E75}" destId="{F50C1236-A0CB-49A3-AB51-17391D2CB7CB}" srcOrd="9" destOrd="0" presId="urn:microsoft.com/office/officeart/2008/layout/CircularPictureCallout"/>
    <dgm:cxn modelId="{EDAE9E36-CE43-4840-B3BF-9B6370A4E418}" type="presParOf" srcId="{BBF0B8F4-D944-47A8-9EB3-6C40CA336E75}" destId="{48EDBBC6-6328-4381-817D-21F3A3055A33}" srcOrd="10" destOrd="0" presId="urn:microsoft.com/office/officeart/2008/layout/CircularPictureCallout"/>
    <dgm:cxn modelId="{42B4F80A-F797-428C-8A90-E8C32A5FF5B5}" type="presParOf" srcId="{48EDBBC6-6328-4381-817D-21F3A3055A33}" destId="{C2125B98-E053-45A7-A7E2-D42F0ACC9E25}" srcOrd="0" destOrd="0" presId="urn:microsoft.com/office/officeart/2008/layout/CircularPictureCallout"/>
  </dgm:cxnLst>
  <dgm:bg/>
  <dgm:whole/>
  <dgm:extLst>
    <a:ext uri="http://schemas.microsoft.com/office/drawing/2008/diagram">
      <dsp:dataModelExt xmlns:dsp="http://schemas.microsoft.com/office/drawing/2008/diagram" relId="rId20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F50C1236-A0CB-49A3-AB51-17391D2CB7CB}">
      <dsp:nvSpPr>
        <dsp:cNvPr id="0" name=""/>
        <dsp:cNvSpPr/>
      </dsp:nvSpPr>
      <dsp:spPr>
        <a:xfrm>
          <a:off x="1487651" y="2097880"/>
          <a:ext cx="2295144" cy="0"/>
        </a:xfrm>
        <a:prstGeom prst="line">
          <a:avLst/>
        </a:prstGeom>
        <a:noFill/>
        <a:ln w="10795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79582ED9-EC86-43A2-8DDE-B7B6EDE7E5DC}">
      <dsp:nvSpPr>
        <dsp:cNvPr id="0" name=""/>
        <dsp:cNvSpPr/>
      </dsp:nvSpPr>
      <dsp:spPr>
        <a:xfrm>
          <a:off x="1487651" y="1297780"/>
          <a:ext cx="1965960" cy="0"/>
        </a:xfrm>
        <a:prstGeom prst="line">
          <a:avLst/>
        </a:prstGeom>
        <a:noFill/>
        <a:ln w="10795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9976AFC2-1656-4FBF-90D7-F42CEAC2FA50}">
      <dsp:nvSpPr>
        <dsp:cNvPr id="0" name=""/>
        <dsp:cNvSpPr/>
      </dsp:nvSpPr>
      <dsp:spPr>
        <a:xfrm>
          <a:off x="1487651" y="497680"/>
          <a:ext cx="2295144" cy="0"/>
        </a:xfrm>
        <a:prstGeom prst="line">
          <a:avLst/>
        </a:prstGeom>
        <a:noFill/>
        <a:ln w="10795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0C98464E-73A4-404B-BE0C-7AE7665E1BA8}">
      <dsp:nvSpPr>
        <dsp:cNvPr id="0" name=""/>
        <dsp:cNvSpPr/>
      </dsp:nvSpPr>
      <dsp:spPr>
        <a:xfrm>
          <a:off x="344651" y="154780"/>
          <a:ext cx="2286000" cy="2286000"/>
        </a:xfrm>
        <a:prstGeom prst="ellipse">
          <a:avLst/>
        </a:prstGeom>
        <a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 w="10795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6CEBB7AA-2BBB-4870-A9FD-A91D4D099AD4}">
      <dsp:nvSpPr>
        <dsp:cNvPr id="0" name=""/>
        <dsp:cNvSpPr/>
      </dsp:nvSpPr>
      <dsp:spPr>
        <a:xfrm>
          <a:off x="756131" y="1368646"/>
          <a:ext cx="1463040" cy="754380"/>
        </a:xfrm>
        <a:prstGeom prst="rect">
          <a:avLst/>
        </a:prstGeom>
        <a:noFill/>
        <a:ln w="10795" cap="flat" cmpd="sng" algn="ctr">
          <a:noFill/>
          <a:prstDash val="solid"/>
        </a:ln>
        <a:effectLst/>
        <a:sp3d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b" anchorCtr="0">
          <a:noAutofit/>
        </a:bodyPr>
        <a:lstStyle/>
        <a:p>
          <a:pPr marL="0" lvl="0" indent="0" algn="ctr" defTabSz="2400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pt-BR" sz="5400" kern="1200"/>
        </a:p>
      </dsp:txBody>
      <dsp:txXfrm>
        <a:off x="756131" y="1368646"/>
        <a:ext cx="1463040" cy="754380"/>
      </dsp:txXfrm>
    </dsp:sp>
    <dsp:sp modelId="{60DC80F9-B64B-4DA4-A22B-479E8559F9CD}">
      <dsp:nvSpPr>
        <dsp:cNvPr id="0" name=""/>
        <dsp:cNvSpPr/>
      </dsp:nvSpPr>
      <dsp:spPr>
        <a:xfrm>
          <a:off x="3439895" y="154780"/>
          <a:ext cx="685800" cy="685800"/>
        </a:xfrm>
        <a:prstGeom prst="ellipse">
          <a:avLst/>
        </a:prstGeom>
        <a:solidFill>
          <a:schemeClr val="accent1">
            <a:tint val="50000"/>
            <a:hueOff val="0"/>
            <a:satOff val="0"/>
            <a:lumOff val="0"/>
            <a:alphaOff val="0"/>
          </a:schemeClr>
        </a:solidFill>
        <a:ln w="10795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F132CBB6-0477-48C1-B076-15409ED56212}">
      <dsp:nvSpPr>
        <dsp:cNvPr id="0" name=""/>
        <dsp:cNvSpPr/>
      </dsp:nvSpPr>
      <dsp:spPr>
        <a:xfrm>
          <a:off x="4125695" y="154780"/>
          <a:ext cx="79095" cy="685800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9050" tIns="0" rIns="19050" bIns="0" numCol="1" spcCol="1270" anchor="ctr" anchorCtr="0">
          <a:noAutofit/>
        </a:bodyPr>
        <a:lstStyle/>
        <a:p>
          <a:pPr marL="0" lvl="0" indent="0" algn="l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pt-BR" sz="500" kern="1200"/>
        </a:p>
      </dsp:txBody>
      <dsp:txXfrm>
        <a:off x="4125695" y="154780"/>
        <a:ext cx="79095" cy="685800"/>
      </dsp:txXfrm>
    </dsp:sp>
    <dsp:sp modelId="{034B5567-3AAA-46CC-8A7D-2E40576DEA55}">
      <dsp:nvSpPr>
        <dsp:cNvPr id="0" name=""/>
        <dsp:cNvSpPr/>
      </dsp:nvSpPr>
      <dsp:spPr>
        <a:xfrm>
          <a:off x="3110711" y="954880"/>
          <a:ext cx="685800" cy="685800"/>
        </a:xfrm>
        <a:prstGeom prst="ellipse">
          <a:avLst/>
        </a:prstGeom>
        <a:solidFill>
          <a:schemeClr val="accent1">
            <a:tint val="50000"/>
            <a:hueOff val="0"/>
            <a:satOff val="0"/>
            <a:lumOff val="0"/>
            <a:alphaOff val="0"/>
          </a:schemeClr>
        </a:solidFill>
        <a:ln w="10795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8D21688D-56F5-42E4-A9D4-D4BFA12EDA10}">
      <dsp:nvSpPr>
        <dsp:cNvPr id="0" name=""/>
        <dsp:cNvSpPr/>
      </dsp:nvSpPr>
      <dsp:spPr>
        <a:xfrm>
          <a:off x="3796511" y="954880"/>
          <a:ext cx="112014" cy="685800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9050" tIns="0" rIns="19050" bIns="0" numCol="1" spcCol="1270" anchor="ctr" anchorCtr="0">
          <a:noAutofit/>
        </a:bodyPr>
        <a:lstStyle/>
        <a:p>
          <a:pPr marL="0" lvl="0" indent="0" algn="l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pt-BR" sz="500" kern="1200"/>
        </a:p>
      </dsp:txBody>
      <dsp:txXfrm>
        <a:off x="3796511" y="954880"/>
        <a:ext cx="112014" cy="685800"/>
      </dsp:txXfrm>
    </dsp:sp>
    <dsp:sp modelId="{4D5180D4-EF8A-4C29-8BD4-B1B68CC3296B}">
      <dsp:nvSpPr>
        <dsp:cNvPr id="0" name=""/>
        <dsp:cNvSpPr/>
      </dsp:nvSpPr>
      <dsp:spPr>
        <a:xfrm>
          <a:off x="3338242" y="1607341"/>
          <a:ext cx="889105" cy="981078"/>
        </a:xfrm>
        <a:prstGeom prst="ellipse">
          <a:avLst/>
        </a:prstGeom>
        <a:solidFill>
          <a:schemeClr val="accent1">
            <a:tint val="50000"/>
            <a:hueOff val="0"/>
            <a:satOff val="0"/>
            <a:lumOff val="0"/>
            <a:alphaOff val="0"/>
          </a:schemeClr>
        </a:solidFill>
        <a:ln w="10795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C2125B98-E053-45A7-A7E2-D42F0ACC9E25}">
      <dsp:nvSpPr>
        <dsp:cNvPr id="0" name=""/>
        <dsp:cNvSpPr/>
      </dsp:nvSpPr>
      <dsp:spPr>
        <a:xfrm>
          <a:off x="4125695" y="1754980"/>
          <a:ext cx="79095" cy="685800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9050" tIns="0" rIns="19050" bIns="0" numCol="1" spcCol="1270" anchor="ctr" anchorCtr="0">
          <a:noAutofit/>
        </a:bodyPr>
        <a:lstStyle/>
        <a:p>
          <a:pPr marL="0" lvl="0" indent="0" algn="l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pt-BR" sz="500" kern="1200"/>
        </a:p>
      </dsp:txBody>
      <dsp:txXfrm>
        <a:off x="4125695" y="1754980"/>
        <a:ext cx="79095" cy="685800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8/layout/CircularPictureCallout">
  <dgm:title val=""/>
  <dgm:desc val=""/>
  <dgm:catLst>
    <dgm:cat type="picture" pri="2000"/>
    <dgm:cat type="pictureconvert" pri="2000"/>
  </dgm:catLst>
  <dgm:sampData>
    <dgm:dataModel>
      <dgm:ptLst>
        <dgm:pt modelId="0" type="doc"/>
        <dgm:pt modelId="1"/>
        <dgm:pt modelId="2">
          <dgm:prSet phldr="1"/>
        </dgm:pt>
        <dgm:pt modelId="3">
          <dgm:prSet phldr="1"/>
        </dgm:pt>
        <dgm:pt modelId="4">
          <dgm:prSet phldr="1"/>
        </dgm:pt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sampData>
  <dgm:style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styleData>
  <dgm:clr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>
    <dgm:varLst>
      <dgm:chMax val="7"/>
      <dgm:chPref val="7"/>
      <dgm:dir/>
    </dgm:varLst>
    <dgm:alg type="composite"/>
    <dgm:shape xmlns:r="http://schemas.openxmlformats.org/officeDocument/2006/relationships" r:blip="">
      <dgm:adjLst/>
    </dgm:shape>
    <dgm:constrLst>
      <dgm:constr type="w" for="ch" refType="h" refFor="ch" op="gte" fact="2"/>
    </dgm:constrLst>
    <dgm:layoutNode name="Name1">
      <dgm:alg type="composite"/>
      <dgm:shape xmlns:r="http://schemas.openxmlformats.org/officeDocument/2006/relationships" r:blip="">
        <dgm:adjLst/>
      </dgm:shape>
      <dgm:choose name="Name2">
        <dgm:if name="Name3" axis="ch" ptType="node" func="cnt" op="lte" val="1">
          <dgm:constrLst>
            <dgm:constr type="h" for="ch" forName="picture_1" refType="h"/>
            <dgm:constr type="w" for="ch" forName="picture_1" refType="h" refFor="ch" refForName="picture_1" op="equ"/>
            <dgm:constr type="l" for="ch" forName="picture_1"/>
            <dgm:constr type="t" for="ch" forName="picture_1"/>
            <dgm:constr type="w" for="ch" forName="text_1" refType="w" refFor="ch" refForName="picture_1" fact="0.64"/>
            <dgm:constr type="h" for="ch" forName="text_1" refType="h" refFor="ch" refForName="picture_1" fact="0.33"/>
            <dgm:constr type="l" for="ch" forName="text_1" refType="w" refFor="ch" refForName="picture_1" fact="0.18"/>
            <dgm:constr type="t" for="ch" forName="text_1" refType="h" refFor="ch" refForName="picture_1" fact="0.531"/>
          </dgm:constrLst>
        </dgm:if>
        <dgm:if name="Name4" axis="ch" ptType="node" func="cnt" op="lte" val="2">
          <dgm:choose name="Name5">
            <dgm:if name="Name6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5"/>
                <dgm:constr type="h" for="ch" forName="picture_2" refType="h" refFor="ch" refForName="picture_1" fact="0.5"/>
                <dgm:constr type="l" for="ch" forName="picture_2" refType="w" refFor="ch" refForName="picture_1" fact="1.21"/>
                <dgm:constr type="ctrY" for="ch" forName="picture_2" refType="h" refFor="ch" refForName="picture_1" fact="0.5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</dgm:constrLst>
            </dgm:if>
            <dgm:else name="Name7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5"/>
                <dgm:constr type="h" for="ch" forName="picture_2" refType="h" refFor="ch" refForName="picture_1" fact="0.5"/>
                <dgm:constr type="r" for="ch" forName="picture_2" refType="w"/>
                <dgm:constr type="rOff" for="ch" forName="picture_2" refType="w" refFor="ch" refForName="picture_1" fact="-1.21"/>
                <dgm:constr type="ctrY" for="ch" forName="picture_2" refType="h" refFor="ch" refForName="picture_1" fact="0.5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</dgm:constrLst>
            </dgm:else>
          </dgm:choose>
        </dgm:if>
        <dgm:if name="Name8" axis="ch" ptType="node" func="cnt" op="lte" val="3">
          <dgm:choose name="Name9">
            <dgm:if name="Name10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375"/>
                <dgm:constr type="h" for="ch" forName="picture_2" refType="h" refFor="ch" refForName="picture_1" fact="0.375"/>
                <dgm:constr type="l" for="ch" forName="picture_2" refType="w" refFor="ch" refForName="picture_1" fact="1.21"/>
                <dgm:constr type="ctrY" for="ch" forName="picture_2" refType="h" refFor="ch" refForName="picture_1" fact="0.1875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375"/>
                <dgm:constr type="h" for="ch" forName="picture_3" refType="h" refFor="ch" refForName="picture_1" fact="0.375"/>
                <dgm:constr type="l" for="ch" forName="picture_3" refType="w" refFor="ch" refForName="picture_1" fact="1.21"/>
                <dgm:constr type="ctrY" for="ch" forName="picture_3" refType="h" refFor="ch" refForName="picture_1" fact="0.8125"/>
                <dgm:constr type="l" for="ch" forName="line_3" refType="ctrX" refFor="ch" refForName="picture_1"/>
                <dgm:constr type="h" for="ch" forName="line_3"/>
                <dgm:constr type="r" for="ch" forName="line_3" refType="ctrX" refFor="ch" refForName="picture_3"/>
                <dgm:constr type="ctrY" for="ch" forName="line_3" refType="ctrY" refFor="ch" refForName="picture_3"/>
                <dgm:constr type="r" for="ch" forName="textparent_3" refType="w"/>
                <dgm:constr type="h" for="ch" forName="textparent_3" refType="h" refFor="ch" refForName="picture_3"/>
                <dgm:constr type="l" for="ch" forName="textparent_3" refType="r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</dgm:constrLst>
            </dgm:if>
            <dgm:else name="Name11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375"/>
                <dgm:constr type="h" for="ch" forName="picture_2" refType="h" refFor="ch" refForName="picture_1" fact="0.375"/>
                <dgm:constr type="r" for="ch" forName="picture_2" refType="w"/>
                <dgm:constr type="rOff" for="ch" forName="picture_2" refType="w" refFor="ch" refForName="picture_1" fact="-1.21"/>
                <dgm:constr type="ctrY" for="ch" forName="picture_2" refType="h" refFor="ch" refForName="picture_1" fact="0.1875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375"/>
                <dgm:constr type="h" for="ch" forName="picture_3" refType="h" refFor="ch" refForName="picture_1" fact="0.375"/>
                <dgm:constr type="r" for="ch" forName="picture_3" refType="w"/>
                <dgm:constr type="rOff" for="ch" forName="picture_3" refType="w" refFor="ch" refForName="picture_1" fact="-1.21"/>
                <dgm:constr type="ctrY" for="ch" forName="picture_3" refType="h" refFor="ch" refForName="picture_1" fact="0.8125"/>
                <dgm:constr type="r" for="ch" forName="line_3" refType="ctrX" refFor="ch" refForName="picture_1"/>
                <dgm:constr type="h" for="ch" forName="line_3"/>
                <dgm:constr type="l" for="ch" forName="line_3" refType="ctrX" refFor="ch" refForName="picture_3"/>
                <dgm:constr type="ctrY" for="ch" forName="line_3" refType="ctrY" refFor="ch" refForName="picture_3"/>
                <dgm:constr type="l" for="ch" forName="textparent_3"/>
                <dgm:constr type="h" for="ch" forName="textparent_3" refType="h" refFor="ch" refForName="picture_3"/>
                <dgm:constr type="r" for="ch" forName="textparent_3" refType="l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</dgm:constrLst>
            </dgm:else>
          </dgm:choose>
        </dgm:if>
        <dgm:if name="Name12" axis="ch" ptType="node" func="cnt" op="lte" val="4">
          <dgm:choose name="Name13">
            <dgm:if name="Name14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3"/>
                <dgm:constr type="h" for="ch" forName="picture_2" refType="h" refFor="ch" refForName="picture_1" fact="0.3"/>
                <dgm:constr type="l" for="ch" forName="picture_2" refType="w" refFor="ch" refForName="picture_1" fact="1.354"/>
                <dgm:constr type="ctrY" for="ch" forName="picture_2" refType="h" refFor="ch" refForName="picture_1" fact="0.15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3"/>
                <dgm:constr type="h" for="ch" forName="picture_3" refType="h" refFor="ch" refForName="picture_1" fact="0.3"/>
                <dgm:constr type="l" for="ch" forName="picture_3" refType="w" refFor="ch" refForName="picture_1" fact="1.21"/>
                <dgm:constr type="ctrY" for="ch" forName="picture_3" refType="h" refFor="ch" refForName="picture_1" fact="0.5"/>
                <dgm:constr type="l" for="ch" forName="line_3" refType="ctrX" refFor="ch" refForName="picture_1"/>
                <dgm:constr type="h" for="ch" forName="line_3"/>
                <dgm:constr type="r" for="ch" forName="line_3" refType="ctrX" refFor="ch" refForName="picture_3"/>
                <dgm:constr type="ctrY" for="ch" forName="line_3" refType="ctrY" refFor="ch" refForName="picture_3"/>
                <dgm:constr type="r" for="ch" forName="textparent_3" refType="w"/>
                <dgm:constr type="h" for="ch" forName="textparent_3" refType="h" refFor="ch" refForName="picture_3"/>
                <dgm:constr type="l" for="ch" forName="textparent_3" refType="r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3"/>
                <dgm:constr type="h" for="ch" forName="picture_4" refType="h" refFor="ch" refForName="picture_1" fact="0.3"/>
                <dgm:constr type="l" for="ch" forName="picture_4" refType="w" refFor="ch" refForName="picture_1" fact="1.354"/>
                <dgm:constr type="ctrY" for="ch" forName="picture_4" refType="h" refFor="ch" refForName="picture_1" fact="0.85"/>
                <dgm:constr type="l" for="ch" forName="line_4" refType="ctrX" refFor="ch" refForName="picture_1"/>
                <dgm:constr type="h" for="ch" forName="line_4"/>
                <dgm:constr type="r" for="ch" forName="line_4" refType="ctrX" refFor="ch" refForName="picture_4"/>
                <dgm:constr type="ctrY" for="ch" forName="line_4" refType="ctrY" refFor="ch" refForName="picture_4"/>
                <dgm:constr type="r" for="ch" forName="textparent_4" refType="w"/>
                <dgm:constr type="h" for="ch" forName="textparent_4" refType="h" refFor="ch" refForName="picture_4"/>
                <dgm:constr type="l" for="ch" forName="textparent_4" refType="r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</dgm:constrLst>
            </dgm:if>
            <dgm:else name="Name15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3"/>
                <dgm:constr type="h" for="ch" forName="picture_2" refType="h" refFor="ch" refForName="picture_1" fact="0.3"/>
                <dgm:constr type="r" for="ch" forName="picture_2" refType="w"/>
                <dgm:constr type="rOff" for="ch" forName="picture_2" refType="w" refFor="ch" refForName="picture_1" fact="-1.354"/>
                <dgm:constr type="ctrY" for="ch" forName="picture_2" refType="h" refFor="ch" refForName="picture_1" fact="0.15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3"/>
                <dgm:constr type="h" for="ch" forName="picture_3" refType="h" refFor="ch" refForName="picture_1" fact="0.3"/>
                <dgm:constr type="r" for="ch" forName="picture_3" refType="w"/>
                <dgm:constr type="rOff" for="ch" forName="picture_3" refType="w" refFor="ch" refForName="picture_1" fact="-1.21"/>
                <dgm:constr type="ctrY" for="ch" forName="picture_3" refType="h" refFor="ch" refForName="picture_1" fact="0.5"/>
                <dgm:constr type="r" for="ch" forName="line_3" refType="ctrX" refFor="ch" refForName="picture_1"/>
                <dgm:constr type="h" for="ch" forName="line_3"/>
                <dgm:constr type="l" for="ch" forName="line_3" refType="ctrX" refFor="ch" refForName="picture_3"/>
                <dgm:constr type="ctrY" for="ch" forName="line_3" refType="ctrY" refFor="ch" refForName="picture_3"/>
                <dgm:constr type="l" for="ch" forName="textparent_3"/>
                <dgm:constr type="h" for="ch" forName="textparent_3" refType="h" refFor="ch" refForName="picture_3"/>
                <dgm:constr type="r" for="ch" forName="textparent_3" refType="l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3"/>
                <dgm:constr type="h" for="ch" forName="picture_4" refType="h" refFor="ch" refForName="picture_1" fact="0.3"/>
                <dgm:constr type="r" for="ch" forName="picture_4" refType="w"/>
                <dgm:constr type="rOff" for="ch" forName="picture_4" refType="w" refFor="ch" refForName="picture_1" fact="-1.354"/>
                <dgm:constr type="ctrY" for="ch" forName="picture_4" refType="h" refFor="ch" refForName="picture_1" fact="0.85"/>
                <dgm:constr type="r" for="ch" forName="line_4" refType="ctrX" refFor="ch" refForName="picture_1"/>
                <dgm:constr type="h" for="ch" forName="line_4"/>
                <dgm:constr type="l" for="ch" forName="line_4" refType="ctrX" refFor="ch" refForName="picture_4"/>
                <dgm:constr type="ctrY" for="ch" forName="line_4" refType="ctrY" refFor="ch" refForName="picture_4"/>
                <dgm:constr type="l" for="ch" forName="textparent_4"/>
                <dgm:constr type="h" for="ch" forName="textparent_4" refType="h" refFor="ch" refForName="picture_4"/>
                <dgm:constr type="r" for="ch" forName="textparent_4" refType="l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</dgm:constrLst>
            </dgm:else>
          </dgm:choose>
        </dgm:if>
        <dgm:if name="Name16" axis="ch" ptType="node" func="cnt" op="lte" val="5">
          <dgm:choose name="Name17">
            <dgm:if name="Name18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22"/>
                <dgm:constr type="h" for="ch" forName="picture_2" refType="h" refFor="ch" refForName="picture_1" fact="0.22"/>
                <dgm:constr type="l" for="ch" forName="picture_2" refType="w" refFor="ch" refForName="picture_1" fact="1.375"/>
                <dgm:constr type="ctrY" for="ch" forName="picture_2" refType="h" refFor="ch" refForName="picture_1" fact="0.11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22"/>
                <dgm:constr type="h" for="ch" forName="picture_3" refType="h" refFor="ch" refForName="picture_1" fact="0.22"/>
                <dgm:constr type="l" for="ch" forName="picture_3" refType="w" refFor="ch" refForName="picture_1" fact="1.21"/>
                <dgm:constr type="ctrY" for="ch" forName="picture_3" refType="h" refFor="ch" refForName="picture_1" fact="0.353"/>
                <dgm:constr type="l" for="ch" forName="line_3" refType="ctrX" refFor="ch" refForName="picture_1"/>
                <dgm:constr type="h" for="ch" forName="line_3"/>
                <dgm:constr type="r" for="ch" forName="line_3" refType="ctrX" refFor="ch" refForName="picture_3"/>
                <dgm:constr type="ctrY" for="ch" forName="line_3" refType="ctrY" refFor="ch" refForName="picture_3"/>
                <dgm:constr type="r" for="ch" forName="textparent_3" refType="w"/>
                <dgm:constr type="h" for="ch" forName="textparent_3" refType="h" refFor="ch" refForName="picture_3"/>
                <dgm:constr type="l" for="ch" forName="textparent_3" refType="r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22"/>
                <dgm:constr type="h" for="ch" forName="picture_4" refType="h" refFor="ch" refForName="picture_1" fact="0.22"/>
                <dgm:constr type="l" for="ch" forName="picture_4" refType="w" refFor="ch" refForName="picture_1" fact="1.21"/>
                <dgm:constr type="ctrY" for="ch" forName="picture_4" refType="h" refFor="ch" refForName="picture_1" fact="0.647"/>
                <dgm:constr type="l" for="ch" forName="line_4" refType="ctrX" refFor="ch" refForName="picture_1"/>
                <dgm:constr type="h" for="ch" forName="line_4"/>
                <dgm:constr type="r" for="ch" forName="line_4" refType="ctrX" refFor="ch" refForName="picture_4"/>
                <dgm:constr type="ctrY" for="ch" forName="line_4" refType="ctrY" refFor="ch" refForName="picture_4"/>
                <dgm:constr type="r" for="ch" forName="textparent_4" refType="w"/>
                <dgm:constr type="h" for="ch" forName="textparent_4" refType="h" refFor="ch" refForName="picture_4"/>
                <dgm:constr type="l" for="ch" forName="textparent_4" refType="r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22"/>
                <dgm:constr type="h" for="ch" forName="picture_5" refType="h" refFor="ch" refForName="picture_1" fact="0.22"/>
                <dgm:constr type="l" for="ch" forName="picture_5" refType="w" refFor="ch" refForName="picture_1" fact="1.375"/>
                <dgm:constr type="ctrY" for="ch" forName="picture_5" refType="h" refFor="ch" refForName="picture_1" fact="0.89"/>
                <dgm:constr type="l" for="ch" forName="line_5" refType="ctrX" refFor="ch" refForName="picture_1"/>
                <dgm:constr type="h" for="ch" forName="line_5"/>
                <dgm:constr type="r" for="ch" forName="line_5" refType="ctrX" refFor="ch" refForName="picture_5"/>
                <dgm:constr type="ctrY" for="ch" forName="line_5" refType="ctrY" refFor="ch" refForName="picture_5"/>
                <dgm:constr type="r" for="ch" forName="textparent_5" refType="w"/>
                <dgm:constr type="h" for="ch" forName="textparent_5" refType="h" refFor="ch" refForName="picture_5"/>
                <dgm:constr type="l" for="ch" forName="textparent_5" refType="r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</dgm:constrLst>
            </dgm:if>
            <dgm:else name="Name19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22"/>
                <dgm:constr type="h" for="ch" forName="picture_2" refType="h" refFor="ch" refForName="picture_1" fact="0.22"/>
                <dgm:constr type="r" for="ch" forName="picture_2" refType="w"/>
                <dgm:constr type="rOff" for="ch" forName="picture_2" refType="w" refFor="ch" refForName="picture_1" fact="-1.375"/>
                <dgm:constr type="ctrY" for="ch" forName="picture_2" refType="h" refFor="ch" refForName="picture_1" fact="0.11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22"/>
                <dgm:constr type="h" for="ch" forName="picture_3" refType="h" refFor="ch" refForName="picture_1" fact="0.22"/>
                <dgm:constr type="r" for="ch" forName="picture_3" refType="w"/>
                <dgm:constr type="rOff" for="ch" forName="picture_3" refType="w" refFor="ch" refForName="picture_1" fact="-1.21"/>
                <dgm:constr type="ctrY" for="ch" forName="picture_3" refType="h" refFor="ch" refForName="picture_1" fact="0.353"/>
                <dgm:constr type="r" for="ch" forName="line_3" refType="ctrX" refFor="ch" refForName="picture_1"/>
                <dgm:constr type="h" for="ch" forName="line_3"/>
                <dgm:constr type="l" for="ch" forName="line_3" refType="ctrX" refFor="ch" refForName="picture_3"/>
                <dgm:constr type="ctrY" for="ch" forName="line_3" refType="ctrY" refFor="ch" refForName="picture_3"/>
                <dgm:constr type="l" for="ch" forName="textparent_3"/>
                <dgm:constr type="h" for="ch" forName="textparent_3" refType="h" refFor="ch" refForName="picture_3"/>
                <dgm:constr type="r" for="ch" forName="textparent_3" refType="l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22"/>
                <dgm:constr type="h" for="ch" forName="picture_4" refType="h" refFor="ch" refForName="picture_1" fact="0.22"/>
                <dgm:constr type="r" for="ch" forName="picture_4" refType="w"/>
                <dgm:constr type="rOff" for="ch" forName="picture_4" refType="w" refFor="ch" refForName="picture_1" fact="-1.21"/>
                <dgm:constr type="ctrY" for="ch" forName="picture_4" refType="h" refFor="ch" refForName="picture_1" fact="0.647"/>
                <dgm:constr type="r" for="ch" forName="line_4" refType="ctrX" refFor="ch" refForName="picture_1"/>
                <dgm:constr type="h" for="ch" forName="line_4"/>
                <dgm:constr type="l" for="ch" forName="line_4" refType="ctrX" refFor="ch" refForName="picture_4"/>
                <dgm:constr type="ctrY" for="ch" forName="line_4" refType="ctrY" refFor="ch" refForName="picture_4"/>
                <dgm:constr type="l" for="ch" forName="textparent_4"/>
                <dgm:constr type="h" for="ch" forName="textparent_4" refType="h" refFor="ch" refForName="picture_4"/>
                <dgm:constr type="r" for="ch" forName="textparent_4" refType="l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22"/>
                <dgm:constr type="h" for="ch" forName="picture_5" refType="h" refFor="ch" refForName="picture_1" fact="0.22"/>
                <dgm:constr type="r" for="ch" forName="picture_5" refType="w"/>
                <dgm:constr type="rOff" for="ch" forName="picture_5" refType="w" refFor="ch" refForName="picture_1" fact="-1.375"/>
                <dgm:constr type="ctrY" for="ch" forName="picture_5" refType="h" refFor="ch" refForName="picture_1" fact="0.89"/>
                <dgm:constr type="r" for="ch" forName="line_5" refType="ctrX" refFor="ch" refForName="picture_1"/>
                <dgm:constr type="h" for="ch" forName="line_5"/>
                <dgm:constr type="l" for="ch" forName="line_5" refType="ctrX" refFor="ch" refForName="picture_5"/>
                <dgm:constr type="ctrY" for="ch" forName="line_5" refType="ctrY" refFor="ch" refForName="picture_5"/>
                <dgm:constr type="l" for="ch" forName="textparent_5"/>
                <dgm:constr type="h" for="ch" forName="textparent_5" refType="h" refFor="ch" refForName="picture_5"/>
                <dgm:constr type="r" for="ch" forName="textparent_5" refType="l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</dgm:constrLst>
            </dgm:else>
          </dgm:choose>
        </dgm:if>
        <dgm:if name="Name20" axis="ch" ptType="node" func="cnt" op="lte" val="6">
          <dgm:choose name="Name21">
            <dgm:if name="Name22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18"/>
                <dgm:constr type="h" for="ch" forName="picture_2" refType="h" refFor="ch" refForName="picture_1" fact="0.18"/>
                <dgm:constr type="l" for="ch" forName="picture_2" refType="w" refFor="ch" refForName="picture_1" fact="1.4238"/>
                <dgm:constr type="ctrY" for="ch" forName="picture_2" refType="h" refFor="ch" refForName="picture_1" fact="0.09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18"/>
                <dgm:constr type="h" for="ch" forName="picture_3" refType="h" refFor="ch" refForName="picture_1" fact="0.18"/>
                <dgm:constr type="l" for="ch" forName="picture_3" refType="w" refFor="ch" refForName="picture_1" fact="1.2667"/>
                <dgm:constr type="ctrY" for="ch" forName="picture_3" refType="h" refFor="ch" refForName="picture_1" fact="0.261"/>
                <dgm:constr type="l" for="ch" forName="line_3" refType="ctrX" refFor="ch" refForName="picture_1"/>
                <dgm:constr type="h" for="ch" forName="line_3"/>
                <dgm:constr type="r" for="ch" forName="line_3" refType="ctrX" refFor="ch" refForName="picture_3"/>
                <dgm:constr type="ctrY" for="ch" forName="line_3" refType="ctrY" refFor="ch" refForName="picture_3"/>
                <dgm:constr type="r" for="ch" forName="textparent_3" refType="w"/>
                <dgm:constr type="h" for="ch" forName="textparent_3" refType="h" refFor="ch" refForName="picture_3"/>
                <dgm:constr type="l" for="ch" forName="textparent_3" refType="r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18"/>
                <dgm:constr type="h" for="ch" forName="picture_4" refType="h" refFor="ch" refForName="picture_1" fact="0.18"/>
                <dgm:constr type="l" for="ch" forName="picture_4" refType="w" refFor="ch" refForName="picture_1" fact="1.21"/>
                <dgm:constr type="ctrY" for="ch" forName="picture_4" refType="h" refFor="ch" refForName="picture_1" fact="0.5"/>
                <dgm:constr type="l" for="ch" forName="line_4" refType="ctrX" refFor="ch" refForName="picture_1"/>
                <dgm:constr type="h" for="ch" forName="line_4"/>
                <dgm:constr type="r" for="ch" forName="line_4" refType="ctrX" refFor="ch" refForName="picture_4"/>
                <dgm:constr type="ctrY" for="ch" forName="line_4" refType="ctrY" refFor="ch" refForName="picture_4"/>
                <dgm:constr type="r" for="ch" forName="textparent_4" refType="w"/>
                <dgm:constr type="h" for="ch" forName="textparent_4" refType="h" refFor="ch" refForName="picture_4"/>
                <dgm:constr type="l" for="ch" forName="textparent_4" refType="r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18"/>
                <dgm:constr type="h" for="ch" forName="picture_5" refType="h" refFor="ch" refForName="picture_1" fact="0.18"/>
                <dgm:constr type="l" for="ch" forName="picture_5" refType="w" refFor="ch" refForName="picture_1" fact="1.2667"/>
                <dgm:constr type="ctrY" for="ch" forName="picture_5" refType="h" refFor="ch" refForName="picture_1" fact="0.739"/>
                <dgm:constr type="l" for="ch" forName="line_5" refType="ctrX" refFor="ch" refForName="picture_1"/>
                <dgm:constr type="h" for="ch" forName="line_5"/>
                <dgm:constr type="r" for="ch" forName="line_5" refType="ctrX" refFor="ch" refForName="picture_5"/>
                <dgm:constr type="ctrY" for="ch" forName="line_5" refType="ctrY" refFor="ch" refForName="picture_5"/>
                <dgm:constr type="r" for="ch" forName="textparent_5" refType="w"/>
                <dgm:constr type="h" for="ch" forName="textparent_5" refType="h" refFor="ch" refForName="picture_5"/>
                <dgm:constr type="l" for="ch" forName="textparent_5" refType="r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  <dgm:constr type="w" for="ch" forName="picture_6" refType="w" refFor="ch" refForName="picture_1" fact="0.18"/>
                <dgm:constr type="h" for="ch" forName="picture_6" refType="h" refFor="ch" refForName="picture_1" fact="0.18"/>
                <dgm:constr type="l" for="ch" forName="picture_6" refType="w" refFor="ch" refForName="picture_1" fact="1.4238"/>
                <dgm:constr type="ctrY" for="ch" forName="picture_6" refType="h" refFor="ch" refForName="picture_1" fact="0.91"/>
                <dgm:constr type="l" for="ch" forName="line_6" refType="ctrX" refFor="ch" refForName="picture_1"/>
                <dgm:constr type="h" for="ch" forName="line_6"/>
                <dgm:constr type="r" for="ch" forName="line_6" refType="ctrX" refFor="ch" refForName="picture_6"/>
                <dgm:constr type="ctrY" for="ch" forName="line_6" refType="ctrY" refFor="ch" refForName="picture_6"/>
                <dgm:constr type="r" for="ch" forName="textparent_6" refType="w"/>
                <dgm:constr type="h" for="ch" forName="textparent_6" refType="h" refFor="ch" refForName="picture_6"/>
                <dgm:constr type="l" for="ch" forName="textparent_6" refType="r" refFor="ch" refForName="picture_6"/>
                <dgm:constr type="ctrY" for="ch" forName="textparent_6" refType="ctrY" refFor="ch" refForName="picture_6"/>
                <dgm:constr type="primFontSz" for="des" forName="text_6" refType="primFontSz" refFor="des" refForName="text_2" op="equ"/>
              </dgm:constrLst>
            </dgm:if>
            <dgm:else name="Name23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18"/>
                <dgm:constr type="h" for="ch" forName="picture_2" refType="h" refFor="ch" refForName="picture_1" fact="0.18"/>
                <dgm:constr type="r" for="ch" forName="picture_2" refType="w"/>
                <dgm:constr type="rOff" for="ch" forName="picture_2" refType="w" refFor="ch" refForName="picture_1" fact="-1.4238"/>
                <dgm:constr type="ctrY" for="ch" forName="picture_2" refType="h" refFor="ch" refForName="picture_1" fact="0.09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18"/>
                <dgm:constr type="h" for="ch" forName="picture_3" refType="h" refFor="ch" refForName="picture_1" fact="0.18"/>
                <dgm:constr type="r" for="ch" forName="picture_3" refType="w"/>
                <dgm:constr type="rOff" for="ch" forName="picture_3" refType="w" refFor="ch" refForName="picture_1" fact="-1.2667"/>
                <dgm:constr type="ctrY" for="ch" forName="picture_3" refType="h" refFor="ch" refForName="picture_1" fact="0.261"/>
                <dgm:constr type="r" for="ch" forName="line_3" refType="ctrX" refFor="ch" refForName="picture_1"/>
                <dgm:constr type="h" for="ch" forName="line_3"/>
                <dgm:constr type="l" for="ch" forName="line_3" refType="ctrX" refFor="ch" refForName="picture_3"/>
                <dgm:constr type="ctrY" for="ch" forName="line_3" refType="ctrY" refFor="ch" refForName="picture_3"/>
                <dgm:constr type="l" for="ch" forName="textparent_3"/>
                <dgm:constr type="h" for="ch" forName="textparent_3" refType="h" refFor="ch" refForName="picture_3"/>
                <dgm:constr type="r" for="ch" forName="textparent_3" refType="l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18"/>
                <dgm:constr type="h" for="ch" forName="picture_4" refType="h" refFor="ch" refForName="picture_1" fact="0.18"/>
                <dgm:constr type="r" for="ch" forName="picture_4" refType="w"/>
                <dgm:constr type="rOff" for="ch" forName="picture_4" refType="w" refFor="ch" refForName="picture_1" fact="-1.21"/>
                <dgm:constr type="ctrY" for="ch" forName="picture_4" refType="h" refFor="ch" refForName="picture_1" fact="0.5"/>
                <dgm:constr type="r" for="ch" forName="line_4" refType="ctrX" refFor="ch" refForName="picture_1"/>
                <dgm:constr type="h" for="ch" forName="line_4"/>
                <dgm:constr type="l" for="ch" forName="line_4" refType="ctrX" refFor="ch" refForName="picture_4"/>
                <dgm:constr type="ctrY" for="ch" forName="line_4" refType="ctrY" refFor="ch" refForName="picture_4"/>
                <dgm:constr type="l" for="ch" forName="textparent_4"/>
                <dgm:constr type="h" for="ch" forName="textparent_4" refType="h" refFor="ch" refForName="picture_4"/>
                <dgm:constr type="r" for="ch" forName="textparent_4" refType="l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18"/>
                <dgm:constr type="h" for="ch" forName="picture_5" refType="h" refFor="ch" refForName="picture_1" fact="0.18"/>
                <dgm:constr type="r" for="ch" forName="picture_5" refType="w"/>
                <dgm:constr type="rOff" for="ch" forName="picture_5" refType="w" refFor="ch" refForName="picture_1" fact="-1.2667"/>
                <dgm:constr type="ctrY" for="ch" forName="picture_5" refType="h" refFor="ch" refForName="picture_1" fact="0.739"/>
                <dgm:constr type="r" for="ch" forName="line_5" refType="ctrX" refFor="ch" refForName="picture_1"/>
                <dgm:constr type="h" for="ch" forName="line_5"/>
                <dgm:constr type="l" for="ch" forName="line_5" refType="ctrX" refFor="ch" refForName="picture_5"/>
                <dgm:constr type="ctrY" for="ch" forName="line_5" refType="ctrY" refFor="ch" refForName="picture_5"/>
                <dgm:constr type="l" for="ch" forName="textparent_5"/>
                <dgm:constr type="h" for="ch" forName="textparent_5" refType="h" refFor="ch" refForName="picture_5"/>
                <dgm:constr type="r" for="ch" forName="textparent_5" refType="l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  <dgm:constr type="w" for="ch" forName="picture_6" refType="w" refFor="ch" refForName="picture_1" fact="0.18"/>
                <dgm:constr type="h" for="ch" forName="picture_6" refType="h" refFor="ch" refForName="picture_1" fact="0.18"/>
                <dgm:constr type="r" for="ch" forName="picture_6" refType="w"/>
                <dgm:constr type="rOff" for="ch" forName="picture_6" refType="w" refFor="ch" refForName="picture_1" fact="-1.4238"/>
                <dgm:constr type="ctrY" for="ch" forName="picture_6" refType="h" refFor="ch" refForName="picture_1" fact="0.91"/>
                <dgm:constr type="r" for="ch" forName="line_6" refType="ctrX" refFor="ch" refForName="picture_1"/>
                <dgm:constr type="h" for="ch" forName="line_6"/>
                <dgm:constr type="l" for="ch" forName="line_6" refType="ctrX" refFor="ch" refForName="picture_6"/>
                <dgm:constr type="ctrY" for="ch" forName="line_6" refType="ctrY" refFor="ch" refForName="picture_6"/>
                <dgm:constr type="l" for="ch" forName="textparent_6"/>
                <dgm:constr type="h" for="ch" forName="textparent_6" refType="h" refFor="ch" refForName="picture_6"/>
                <dgm:constr type="r" for="ch" forName="textparent_6" refType="l" refFor="ch" refForName="picture_6"/>
                <dgm:constr type="ctrY" for="ch" forName="textparent_6" refType="ctrY" refFor="ch" refForName="picture_6"/>
                <dgm:constr type="primFontSz" for="des" forName="text_6" refType="primFontSz" refFor="des" refForName="text_2" op="equ"/>
              </dgm:constrLst>
            </dgm:else>
          </dgm:choose>
        </dgm:if>
        <dgm:else name="Name24">
          <dgm:choose name="Name25">
            <dgm:if name="Name26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15"/>
                <dgm:constr type="h" for="ch" forName="picture_2" refType="h" refFor="ch" refForName="picture_1" fact="0.15"/>
                <dgm:constr type="l" for="ch" forName="picture_2" refType="w" refFor="ch" refForName="picture_1" fact="1.4363"/>
                <dgm:constr type="ctrY" for="ch" forName="picture_2" refType="h" refFor="ch" refForName="picture_1" fact="0.075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15"/>
                <dgm:constr type="h" for="ch" forName="picture_3" refType="h" refFor="ch" refForName="picture_1" fact="0.15"/>
                <dgm:constr type="l" for="ch" forName="picture_3" refType="w" refFor="ch" refForName="picture_1" fact="1.2898"/>
                <dgm:constr type="ctrY" for="ch" forName="picture_3" refType="h" refFor="ch" refForName="picture_1" fact="0.227"/>
                <dgm:constr type="l" for="ch" forName="line_3" refType="ctrX" refFor="ch" refForName="picture_1"/>
                <dgm:constr type="h" for="ch" forName="line_3"/>
                <dgm:constr type="r" for="ch" forName="line_3" refType="ctrX" refFor="ch" refForName="picture_3"/>
                <dgm:constr type="ctrY" for="ch" forName="line_3" refType="ctrY" refFor="ch" refForName="picture_3"/>
                <dgm:constr type="r" for="ch" forName="textparent_3" refType="w"/>
                <dgm:constr type="h" for="ch" forName="textparent_3" refType="h" refFor="ch" refForName="picture_3"/>
                <dgm:constr type="l" for="ch" forName="textparent_3" refType="r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15"/>
                <dgm:constr type="h" for="ch" forName="picture_4" refType="h" refFor="ch" refForName="picture_1" fact="0.15"/>
                <dgm:constr type="l" for="ch" forName="picture_4" refType="w" refFor="ch" refForName="picture_1" fact="1.21"/>
                <dgm:constr type="ctrY" for="ch" forName="picture_4" refType="h" refFor="ch" refForName="picture_1" fact="0.405"/>
                <dgm:constr type="l" for="ch" forName="line_4" refType="ctrX" refFor="ch" refForName="picture_1"/>
                <dgm:constr type="h" for="ch" forName="line_4"/>
                <dgm:constr type="r" for="ch" forName="line_4" refType="ctrX" refFor="ch" refForName="picture_4"/>
                <dgm:constr type="ctrY" for="ch" forName="line_4" refType="ctrY" refFor="ch" refForName="picture_4"/>
                <dgm:constr type="r" for="ch" forName="textparent_4" refType="w"/>
                <dgm:constr type="h" for="ch" forName="textparent_4" refType="h" refFor="ch" refForName="picture_4"/>
                <dgm:constr type="l" for="ch" forName="textparent_4" refType="r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15"/>
                <dgm:constr type="h" for="ch" forName="picture_5" refType="h" refFor="ch" refForName="picture_1" fact="0.15"/>
                <dgm:constr type="l" for="ch" forName="picture_5" refType="w" refFor="ch" refForName="picture_1" fact="1.21"/>
                <dgm:constr type="ctrY" for="ch" forName="picture_5" refType="h" refFor="ch" refForName="picture_1" fact="0.595"/>
                <dgm:constr type="l" for="ch" forName="line_5" refType="ctrX" refFor="ch" refForName="picture_1"/>
                <dgm:constr type="h" for="ch" forName="line_5"/>
                <dgm:constr type="r" for="ch" forName="line_5" refType="ctrX" refFor="ch" refForName="picture_5"/>
                <dgm:constr type="ctrY" for="ch" forName="line_5" refType="ctrY" refFor="ch" refForName="picture_5"/>
                <dgm:constr type="r" for="ch" forName="textparent_5" refType="w"/>
                <dgm:constr type="h" for="ch" forName="textparent_5" refType="h" refFor="ch" refForName="picture_5"/>
                <dgm:constr type="l" for="ch" forName="textparent_5" refType="r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  <dgm:constr type="w" for="ch" forName="picture_6" refType="w" refFor="ch" refForName="picture_1" fact="0.15"/>
                <dgm:constr type="h" for="ch" forName="picture_6" refType="h" refFor="ch" refForName="picture_1" fact="0.15"/>
                <dgm:constr type="l" for="ch" forName="picture_6" refType="w" refFor="ch" refForName="picture_1" fact="1.2898"/>
                <dgm:constr type="ctrY" for="ch" forName="picture_6" refType="h" refFor="ch" refForName="picture_1" fact="0.773"/>
                <dgm:constr type="l" for="ch" forName="line_6" refType="ctrX" refFor="ch" refForName="picture_1"/>
                <dgm:constr type="h" for="ch" forName="line_6"/>
                <dgm:constr type="r" for="ch" forName="line_6" refType="ctrX" refFor="ch" refForName="picture_6"/>
                <dgm:constr type="ctrY" for="ch" forName="line_6" refType="ctrY" refFor="ch" refForName="picture_6"/>
                <dgm:constr type="r" for="ch" forName="textparent_6" refType="w"/>
                <dgm:constr type="h" for="ch" forName="textparent_6" refType="h" refFor="ch" refForName="picture_6"/>
                <dgm:constr type="l" for="ch" forName="textparent_6" refType="r" refFor="ch" refForName="picture_6"/>
                <dgm:constr type="ctrY" for="ch" forName="textparent_6" refType="ctrY" refFor="ch" refForName="picture_6"/>
                <dgm:constr type="primFontSz" for="des" forName="text_6" refType="primFontSz" refFor="des" refForName="text_2" op="equ"/>
                <dgm:constr type="w" for="ch" forName="picture_7" refType="w" refFor="ch" refForName="picture_1" fact="0.15"/>
                <dgm:constr type="h" for="ch" forName="picture_7" refType="h" refFor="ch" refForName="picture_1" fact="0.15"/>
                <dgm:constr type="l" for="ch" forName="picture_7" refType="w" refFor="ch" refForName="picture_1" fact="1.4363"/>
                <dgm:constr type="ctrY" for="ch" forName="picture_7" refType="h" refFor="ch" refForName="picture_1" fact="0.925"/>
                <dgm:constr type="l" for="ch" forName="line_7" refType="ctrX" refFor="ch" refForName="picture_1"/>
                <dgm:constr type="h" for="ch" forName="line_7"/>
                <dgm:constr type="r" for="ch" forName="line_7" refType="ctrX" refFor="ch" refForName="picture_7"/>
                <dgm:constr type="ctrY" for="ch" forName="line_7" refType="ctrY" refFor="ch" refForName="picture_7"/>
                <dgm:constr type="r" for="ch" forName="textparent_7" refType="w"/>
                <dgm:constr type="h" for="ch" forName="textparent_7" refType="h" refFor="ch" refForName="picture_7"/>
                <dgm:constr type="l" for="ch" forName="textparent_7" refType="r" refFor="ch" refForName="picture_7"/>
                <dgm:constr type="ctrY" for="ch" forName="textparent_7" refType="ctrY" refFor="ch" refForName="picture_7"/>
                <dgm:constr type="primFontSz" for="des" forName="text_7" refType="primFontSz" refFor="des" refForName="text_2" op="equ"/>
              </dgm:constrLst>
            </dgm:if>
            <dgm:else name="Name27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15"/>
                <dgm:constr type="h" for="ch" forName="picture_2" refType="h" refFor="ch" refForName="picture_1" fact="0.15"/>
                <dgm:constr type="r" for="ch" forName="picture_2" refType="w"/>
                <dgm:constr type="rOff" for="ch" forName="picture_2" refType="w" refFor="ch" refForName="picture_1" fact="-1.4363"/>
                <dgm:constr type="ctrY" for="ch" forName="picture_2" refType="h" refFor="ch" refForName="picture_1" fact="0.075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15"/>
                <dgm:constr type="h" for="ch" forName="picture_3" refType="h" refFor="ch" refForName="picture_1" fact="0.15"/>
                <dgm:constr type="r" for="ch" forName="picture_3" refType="w"/>
                <dgm:constr type="rOff" for="ch" forName="picture_3" refType="w" refFor="ch" refForName="picture_1" fact="-1.2898"/>
                <dgm:constr type="ctrY" for="ch" forName="picture_3" refType="h" refFor="ch" refForName="picture_1" fact="0.227"/>
                <dgm:constr type="r" for="ch" forName="line_3" refType="ctrX" refFor="ch" refForName="picture_1"/>
                <dgm:constr type="h" for="ch" forName="line_3"/>
                <dgm:constr type="l" for="ch" forName="line_3" refType="ctrX" refFor="ch" refForName="picture_3"/>
                <dgm:constr type="ctrY" for="ch" forName="line_3" refType="ctrY" refFor="ch" refForName="picture_3"/>
                <dgm:constr type="l" for="ch" forName="textparent_3"/>
                <dgm:constr type="h" for="ch" forName="textparent_3" refType="h" refFor="ch" refForName="picture_3"/>
                <dgm:constr type="r" for="ch" forName="textparent_3" refType="l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15"/>
                <dgm:constr type="h" for="ch" forName="picture_4" refType="h" refFor="ch" refForName="picture_1" fact="0.15"/>
                <dgm:constr type="r" for="ch" forName="picture_4" refType="w"/>
                <dgm:constr type="rOff" for="ch" forName="picture_4" refType="w" refFor="ch" refForName="picture_1" fact="-1.21"/>
                <dgm:constr type="ctrY" for="ch" forName="picture_4" refType="h" refFor="ch" refForName="picture_1" fact="0.405"/>
                <dgm:constr type="r" for="ch" forName="line_4" refType="ctrX" refFor="ch" refForName="picture_1"/>
                <dgm:constr type="h" for="ch" forName="line_4"/>
                <dgm:constr type="l" for="ch" forName="line_4" refType="ctrX" refFor="ch" refForName="picture_4"/>
                <dgm:constr type="ctrY" for="ch" forName="line_4" refType="ctrY" refFor="ch" refForName="picture_4"/>
                <dgm:constr type="l" for="ch" forName="textparent_4"/>
                <dgm:constr type="h" for="ch" forName="textparent_4" refType="h" refFor="ch" refForName="picture_4"/>
                <dgm:constr type="r" for="ch" forName="textparent_4" refType="l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15"/>
                <dgm:constr type="h" for="ch" forName="picture_5" refType="h" refFor="ch" refForName="picture_1" fact="0.15"/>
                <dgm:constr type="r" for="ch" forName="picture_5" refType="w"/>
                <dgm:constr type="rOff" for="ch" forName="picture_5" refType="w" refFor="ch" refForName="picture_1" fact="-1.21"/>
                <dgm:constr type="ctrY" for="ch" forName="picture_5" refType="h" refFor="ch" refForName="picture_1" fact="0.595"/>
                <dgm:constr type="r" for="ch" forName="line_5" refType="ctrX" refFor="ch" refForName="picture_1"/>
                <dgm:constr type="h" for="ch" forName="line_5"/>
                <dgm:constr type="l" for="ch" forName="line_5" refType="ctrX" refFor="ch" refForName="picture_5"/>
                <dgm:constr type="ctrY" for="ch" forName="line_5" refType="ctrY" refFor="ch" refForName="picture_5"/>
                <dgm:constr type="l" for="ch" forName="textparent_5"/>
                <dgm:constr type="h" for="ch" forName="textparent_5" refType="h" refFor="ch" refForName="picture_5"/>
                <dgm:constr type="r" for="ch" forName="textparent_5" refType="l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  <dgm:constr type="w" for="ch" forName="picture_6" refType="w" refFor="ch" refForName="picture_1" fact="0.15"/>
                <dgm:constr type="h" for="ch" forName="picture_6" refType="h" refFor="ch" refForName="picture_1" fact="0.15"/>
                <dgm:constr type="r" for="ch" forName="picture_6" refType="w"/>
                <dgm:constr type="rOff" for="ch" forName="picture_6" refType="w" refFor="ch" refForName="picture_1" fact="-1.2898"/>
                <dgm:constr type="ctrY" for="ch" forName="picture_6" refType="h" refFor="ch" refForName="picture_1" fact="0.773"/>
                <dgm:constr type="r" for="ch" forName="line_6" refType="ctrX" refFor="ch" refForName="picture_1"/>
                <dgm:constr type="h" for="ch" forName="line_6"/>
                <dgm:constr type="l" for="ch" forName="line_6" refType="ctrX" refFor="ch" refForName="picture_6"/>
                <dgm:constr type="ctrY" for="ch" forName="line_6" refType="ctrY" refFor="ch" refForName="picture_6"/>
                <dgm:constr type="l" for="ch" forName="textparent_6"/>
                <dgm:constr type="h" for="ch" forName="textparent_6" refType="h" refFor="ch" refForName="picture_6"/>
                <dgm:constr type="r" for="ch" forName="textparent_6" refType="l" refFor="ch" refForName="picture_6"/>
                <dgm:constr type="ctrY" for="ch" forName="textparent_6" refType="ctrY" refFor="ch" refForName="picture_6"/>
                <dgm:constr type="primFontSz" for="des" forName="text_6" refType="primFontSz" refFor="des" refForName="text_2" op="equ"/>
                <dgm:constr type="w" for="ch" forName="picture_7" refType="w" refFor="ch" refForName="picture_1" fact="0.15"/>
                <dgm:constr type="h" for="ch" forName="picture_7" refType="h" refFor="ch" refForName="picture_1" fact="0.15"/>
                <dgm:constr type="r" for="ch" forName="picture_7" refType="w"/>
                <dgm:constr type="rOff" for="ch" forName="picture_7" refType="w" refFor="ch" refForName="picture_1" fact="-1.4363"/>
                <dgm:constr type="ctrY" for="ch" forName="picture_7" refType="h" refFor="ch" refForName="picture_1" fact="0.925"/>
                <dgm:constr type="r" for="ch" forName="line_7" refType="ctrX" refFor="ch" refForName="picture_1"/>
                <dgm:constr type="h" for="ch" forName="line_7"/>
                <dgm:constr type="l" for="ch" forName="line_7" refType="ctrX" refFor="ch" refForName="picture_7"/>
                <dgm:constr type="ctrY" for="ch" forName="line_7" refType="ctrY" refFor="ch" refForName="picture_7"/>
                <dgm:constr type="l" for="ch" forName="textparent_7"/>
                <dgm:constr type="h" for="ch" forName="textparent_7" refType="h" refFor="ch" refForName="picture_7"/>
                <dgm:constr type="r" for="ch" forName="textparent_7" refType="l" refFor="ch" refForName="picture_7"/>
                <dgm:constr type="ctrY" for="ch" forName="textparent_7" refType="ctrY" refFor="ch" refForName="picture_7"/>
                <dgm:constr type="primFontSz" for="des" forName="text_7" refType="primFontSz" refFor="des" refForName="text_2" op="equ"/>
              </dgm:constrLst>
            </dgm:else>
          </dgm:choose>
        </dgm:else>
      </dgm:choose>
      <dgm:forEach name="wrapper" axis="self" ptType="parTrans">
        <dgm:forEach name="wrapper2" axis="self" ptType="sibTrans" st="2">
          <dgm:forEach name="pictureRepeat" axis="self">
            <dgm:layoutNode name="pictureRepeatNode" styleLbl="alignImgPlace1">
              <dgm:alg type="sp"/>
              <dgm:shape xmlns:r="http://schemas.openxmlformats.org/officeDocument/2006/relationships" type="ellipse" r:blip="" blipPhldr="1">
                <dgm:adjLst/>
              </dgm:shape>
              <dgm:presOf axis="self"/>
            </dgm:layoutNode>
          </dgm:forEach>
        </dgm:forEach>
      </dgm:forEach>
      <dgm:forEach name="Name28" axis="ch" ptType="sibTrans" hideLastTrans="0" cnt="1">
        <dgm:layoutNode name="picture_1">
          <dgm:alg type="sp"/>
          <dgm:shape xmlns:r="http://schemas.openxmlformats.org/officeDocument/2006/relationships" r:blip="">
            <dgm:adjLst/>
          </dgm:shape>
          <dgm:presOf/>
          <dgm:constrLst/>
          <dgm:forEach name="Name29" ref="pictureRepeat"/>
        </dgm:layoutNode>
      </dgm:forEach>
      <dgm:forEach name="Name30" axis="ch" ptType="node" cnt="1">
        <dgm:layoutNode name="text_1" styleLbl="node1">
          <dgm:varLst>
            <dgm:bulletEnabled val="1"/>
          </dgm:varLst>
          <dgm:alg type="tx">
            <dgm:param type="txAnchorVert" val="b"/>
            <dgm:param type="txAnchorVertCh" val="b"/>
            <dgm:param type="parTxRTLAlign" val="r"/>
            <dgm:param type="shpTxRTLAlignCh" val="r"/>
          </dgm:alg>
          <dgm:shape xmlns:r="http://schemas.openxmlformats.org/officeDocument/2006/relationships" type="rect" r:blip="" hideGeom="1">
            <dgm:adjLst/>
          </dgm:shape>
          <dgm:presOf axis="desOrSelf" ptType="node"/>
          <dgm:constrLst>
            <dgm:constr type="primFontSz" val="65"/>
            <dgm:constr type="lMarg"/>
            <dgm:constr type="rMarg"/>
            <dgm:constr type="tMarg"/>
            <dgm:constr type="bMarg"/>
          </dgm:constrLst>
          <dgm:ruleLst>
            <dgm:rule type="primFontSz" val="5" fact="NaN" max="NaN"/>
          </dgm:ruleLst>
        </dgm:layoutNode>
      </dgm:forEach>
      <dgm:forEach name="Name31" axis="ch" ptType="sibTrans" hideLastTrans="0" st="2" cnt="1">
        <dgm:layoutNode name="picture_2">
          <dgm:alg type="sp"/>
          <dgm:shape xmlns:r="http://schemas.openxmlformats.org/officeDocument/2006/relationships" r:blip="">
            <dgm:adjLst/>
          </dgm:shape>
          <dgm:presOf/>
          <dgm:constrLst/>
          <dgm:forEach name="Name32" ref="pictureRepeat"/>
        </dgm:layoutNode>
      </dgm:forEach>
      <dgm:forEach name="Name33" axis="ch" ptType="node" st="2" cnt="1">
        <dgm:layoutNode name="line_2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2">
          <dgm:choose name="Name34">
            <dgm:if name="Name35" func="var" arg="dir" op="equ" val="norm">
              <dgm:alg type="lin">
                <dgm:param type="horzAlign" val="l"/>
              </dgm:alg>
            </dgm:if>
            <dgm:else name="Name36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2" refType="w"/>
            <dgm:constr type="h" for="ch" forName="text_2" refType="h"/>
          </dgm:constrLst>
          <dgm:presOf/>
          <dgm:layoutNode name="text_2" styleLbl="revTx">
            <dgm:varLst>
              <dgm:bulletEnabled val="1"/>
            </dgm:varLst>
            <dgm:choose name="Name37">
              <dgm:if name="Name38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39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  <dgm:forEach name="Name40" axis="ch" ptType="sibTrans" hideLastTrans="0" st="3" cnt="1">
        <dgm:layoutNode name="picture_3">
          <dgm:alg type="sp"/>
          <dgm:shape xmlns:r="http://schemas.openxmlformats.org/officeDocument/2006/relationships" r:blip="">
            <dgm:adjLst/>
          </dgm:shape>
          <dgm:presOf/>
          <dgm:constrLst/>
          <dgm:forEach name="Name41" ref="pictureRepeat"/>
        </dgm:layoutNode>
      </dgm:forEach>
      <dgm:forEach name="Name42" axis="ch" ptType="node" st="3" cnt="1">
        <dgm:layoutNode name="line_3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3">
          <dgm:choose name="Name43">
            <dgm:if name="Name44" func="var" arg="dir" op="equ" val="norm">
              <dgm:alg type="lin">
                <dgm:param type="horzAlign" val="l"/>
              </dgm:alg>
            </dgm:if>
            <dgm:else name="Name45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3" refType="w"/>
            <dgm:constr type="h" for="ch" forName="text_3" refType="h"/>
          </dgm:constrLst>
          <dgm:presOf/>
          <dgm:layoutNode name="text_3" styleLbl="revTx">
            <dgm:varLst>
              <dgm:bulletEnabled val="1"/>
            </dgm:varLst>
            <dgm:choose name="Name46">
              <dgm:if name="Name47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48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  <dgm:forEach name="Name49" axis="ch" ptType="sibTrans" hideLastTrans="0" st="4" cnt="1">
        <dgm:layoutNode name="picture_4">
          <dgm:alg type="sp"/>
          <dgm:shape xmlns:r="http://schemas.openxmlformats.org/officeDocument/2006/relationships" r:blip="">
            <dgm:adjLst/>
          </dgm:shape>
          <dgm:presOf/>
          <dgm:constrLst/>
          <dgm:forEach name="Name50" ref="pictureRepeat"/>
        </dgm:layoutNode>
      </dgm:forEach>
      <dgm:forEach name="Name51" axis="ch" ptType="node" st="4" cnt="1">
        <dgm:layoutNode name="line_4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4">
          <dgm:choose name="Name52">
            <dgm:if name="Name53" func="var" arg="dir" op="equ" val="norm">
              <dgm:alg type="lin">
                <dgm:param type="horzAlign" val="l"/>
              </dgm:alg>
            </dgm:if>
            <dgm:else name="Name54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4" refType="w"/>
            <dgm:constr type="h" for="ch" forName="text_4" refType="h"/>
          </dgm:constrLst>
          <dgm:presOf/>
          <dgm:layoutNode name="text_4" styleLbl="revTx">
            <dgm:varLst>
              <dgm:bulletEnabled val="1"/>
            </dgm:varLst>
            <dgm:choose name="Name55">
              <dgm:if name="Name56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57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  <dgm:forEach name="Name58" axis="ch" ptType="sibTrans" hideLastTrans="0" st="5" cnt="1">
        <dgm:layoutNode name="picture_5">
          <dgm:alg type="sp"/>
          <dgm:shape xmlns:r="http://schemas.openxmlformats.org/officeDocument/2006/relationships" r:blip="">
            <dgm:adjLst/>
          </dgm:shape>
          <dgm:presOf/>
          <dgm:constrLst/>
          <dgm:forEach name="Name59" ref="pictureRepeat"/>
        </dgm:layoutNode>
      </dgm:forEach>
      <dgm:forEach name="Name60" axis="ch" ptType="node" st="5" cnt="1">
        <dgm:layoutNode name="line_5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5">
          <dgm:choose name="Name61">
            <dgm:if name="Name62" func="var" arg="dir" op="equ" val="norm">
              <dgm:alg type="lin">
                <dgm:param type="horzAlign" val="l"/>
              </dgm:alg>
            </dgm:if>
            <dgm:else name="Name63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5" refType="w"/>
            <dgm:constr type="h" for="ch" forName="text_5" refType="h"/>
          </dgm:constrLst>
          <dgm:presOf/>
          <dgm:layoutNode name="text_5" styleLbl="revTx">
            <dgm:varLst>
              <dgm:bulletEnabled val="1"/>
            </dgm:varLst>
            <dgm:choose name="Name64">
              <dgm:if name="Name65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66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  <dgm:forEach name="Name67" axis="ch" ptType="sibTrans" hideLastTrans="0" st="6" cnt="1">
        <dgm:layoutNode name="picture_6">
          <dgm:alg type="sp"/>
          <dgm:shape xmlns:r="http://schemas.openxmlformats.org/officeDocument/2006/relationships" r:blip="">
            <dgm:adjLst/>
          </dgm:shape>
          <dgm:presOf/>
          <dgm:constrLst/>
          <dgm:forEach name="Name68" ref="pictureRepeat"/>
        </dgm:layoutNode>
      </dgm:forEach>
      <dgm:forEach name="Name69" axis="ch" ptType="node" st="6" cnt="1">
        <dgm:layoutNode name="line_6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6">
          <dgm:choose name="Name70">
            <dgm:if name="Name71" func="var" arg="dir" op="equ" val="norm">
              <dgm:alg type="lin">
                <dgm:param type="horzAlign" val="l"/>
              </dgm:alg>
            </dgm:if>
            <dgm:else name="Name72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6" refType="w"/>
            <dgm:constr type="h" for="ch" forName="text_6" refType="h"/>
          </dgm:constrLst>
          <dgm:presOf/>
          <dgm:layoutNode name="text_6" styleLbl="revTx">
            <dgm:varLst>
              <dgm:bulletEnabled val="1"/>
            </dgm:varLst>
            <dgm:choose name="Name73">
              <dgm:if name="Name74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75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  <dgm:forEach name="Name76" axis="ch" ptType="sibTrans" hideLastTrans="0" st="7" cnt="1">
        <dgm:layoutNode name="picture_7">
          <dgm:alg type="sp"/>
          <dgm:shape xmlns:r="http://schemas.openxmlformats.org/officeDocument/2006/relationships" r:blip="">
            <dgm:adjLst/>
          </dgm:shape>
          <dgm:presOf/>
          <dgm:constrLst/>
          <dgm:forEach name="Name77" ref="pictureRepeat"/>
        </dgm:layoutNode>
      </dgm:forEach>
      <dgm:forEach name="Name78" axis="ch" ptType="node" st="7" cnt="1">
        <dgm:layoutNode name="line_7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7">
          <dgm:choose name="Name79">
            <dgm:if name="Name80" func="var" arg="dir" op="equ" val="norm">
              <dgm:alg type="lin">
                <dgm:param type="horzAlign" val="l"/>
              </dgm:alg>
            </dgm:if>
            <dgm:else name="Name81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7" refType="w"/>
            <dgm:constr type="h" for="ch" forName="text_7" refType="h"/>
          </dgm:constrLst>
          <dgm:presOf/>
          <dgm:layoutNode name="text_7" styleLbl="revTx">
            <dgm:varLst>
              <dgm:bulletEnabled val="1"/>
            </dgm:varLst>
            <dgm:choose name="Name82">
              <dgm:if name="Name83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84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</dgm:layoutNod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13" Type="http://schemas.openxmlformats.org/officeDocument/2006/relationships/image" Target="../media/image12.png"/><Relationship Id="rId18" Type="http://schemas.openxmlformats.org/officeDocument/2006/relationships/diagramQuickStyle" Target="../diagrams/quickStyle1.xml"/><Relationship Id="rId3" Type="http://schemas.microsoft.com/office/2007/relationships/hdphoto" Target="../media/hdphoto1.wdp"/><Relationship Id="rId7" Type="http://schemas.openxmlformats.org/officeDocument/2006/relationships/image" Target="../media/image6.png"/><Relationship Id="rId12" Type="http://schemas.openxmlformats.org/officeDocument/2006/relationships/image" Target="../media/image11.png"/><Relationship Id="rId17" Type="http://schemas.openxmlformats.org/officeDocument/2006/relationships/diagramLayout" Target="../diagrams/layout1.xml"/><Relationship Id="rId2" Type="http://schemas.openxmlformats.org/officeDocument/2006/relationships/image" Target="../media/image2.png"/><Relationship Id="rId16" Type="http://schemas.openxmlformats.org/officeDocument/2006/relationships/diagramData" Target="../diagrams/data1.xml"/><Relationship Id="rId20" Type="http://schemas.microsoft.com/office/2007/relationships/diagramDrawing" Target="../diagrams/drawing1.xml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11" Type="http://schemas.openxmlformats.org/officeDocument/2006/relationships/image" Target="../media/image10.png"/><Relationship Id="rId5" Type="http://schemas.openxmlformats.org/officeDocument/2006/relationships/image" Target="../media/image4.png"/><Relationship Id="rId15" Type="http://schemas.openxmlformats.org/officeDocument/2006/relationships/image" Target="../media/image13.png"/><Relationship Id="rId10" Type="http://schemas.openxmlformats.org/officeDocument/2006/relationships/image" Target="../media/image9.png"/><Relationship Id="rId19" Type="http://schemas.openxmlformats.org/officeDocument/2006/relationships/diagramColors" Target="../diagrams/colors1.xml"/><Relationship Id="rId4" Type="http://schemas.openxmlformats.org/officeDocument/2006/relationships/image" Target="../media/image3.png"/><Relationship Id="rId9" Type="http://schemas.openxmlformats.org/officeDocument/2006/relationships/image" Target="../media/image8.png"/><Relationship Id="rId14" Type="http://schemas.openxmlformats.org/officeDocument/2006/relationships/hyperlink" Target="#Plano_Estat&#237;stico_2018_HJB!A499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png"/><Relationship Id="rId2" Type="http://schemas.openxmlformats.org/officeDocument/2006/relationships/image" Target="../media/image16.png"/><Relationship Id="rId1" Type="http://schemas.openxmlformats.org/officeDocument/2006/relationships/image" Target="../media/image15.png"/><Relationship Id="rId4" Type="http://schemas.openxmlformats.org/officeDocument/2006/relationships/image" Target="../media/image18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png"/><Relationship Id="rId3" Type="http://schemas.openxmlformats.org/officeDocument/2006/relationships/chart" Target="../charts/chart3.xml"/><Relationship Id="rId7" Type="http://schemas.openxmlformats.org/officeDocument/2006/relationships/image" Target="../media/image15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8.png"/><Relationship Id="rId5" Type="http://schemas.openxmlformats.org/officeDocument/2006/relationships/image" Target="../media/image19.png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png"/><Relationship Id="rId3" Type="http://schemas.openxmlformats.org/officeDocument/2006/relationships/chart" Target="../charts/chart7.xml"/><Relationship Id="rId7" Type="http://schemas.openxmlformats.org/officeDocument/2006/relationships/image" Target="../media/image15.png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image" Target="../media/image20.png"/><Relationship Id="rId5" Type="http://schemas.openxmlformats.org/officeDocument/2006/relationships/image" Target="../media/image16.png"/><Relationship Id="rId4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2.png"/><Relationship Id="rId2" Type="http://schemas.openxmlformats.org/officeDocument/2006/relationships/image" Target="../media/image21.png"/><Relationship Id="rId1" Type="http://schemas.openxmlformats.org/officeDocument/2006/relationships/chart" Target="../charts/chart9.xml"/><Relationship Id="rId5" Type="http://schemas.openxmlformats.org/officeDocument/2006/relationships/image" Target="../media/image17.png"/><Relationship Id="rId4" Type="http://schemas.openxmlformats.org/officeDocument/2006/relationships/image" Target="../media/image1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304800</xdr:colOff>
      <xdr:row>12</xdr:row>
      <xdr:rowOff>228600</xdr:rowOff>
    </xdr:from>
    <xdr:to>
      <xdr:col>15</xdr:col>
      <xdr:colOff>638175</xdr:colOff>
      <xdr:row>22</xdr:row>
      <xdr:rowOff>28575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72275" y="2057400"/>
          <a:ext cx="1704975" cy="1704975"/>
        </a:xfrm>
        <a:prstGeom prst="rect">
          <a:avLst/>
        </a:prstGeom>
      </xdr:spPr>
    </xdr:pic>
    <xdr:clientData/>
  </xdr:twoCellAnchor>
  <xdr:twoCellAnchor editAs="oneCell">
    <xdr:from>
      <xdr:col>14</xdr:col>
      <xdr:colOff>76200</xdr:colOff>
      <xdr:row>5</xdr:row>
      <xdr:rowOff>66675</xdr:rowOff>
    </xdr:from>
    <xdr:to>
      <xdr:col>15</xdr:col>
      <xdr:colOff>523875</xdr:colOff>
      <xdr:row>10</xdr:row>
      <xdr:rowOff>209550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475" y="371475"/>
          <a:ext cx="1133475" cy="1133475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15</xdr:col>
      <xdr:colOff>681000</xdr:colOff>
      <xdr:row>21</xdr:row>
      <xdr:rowOff>166650</xdr:rowOff>
    </xdr:from>
    <xdr:to>
      <xdr:col>17</xdr:col>
      <xdr:colOff>117502</xdr:colOff>
      <xdr:row>26</xdr:row>
      <xdr:rowOff>69877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20075" y="3738525"/>
          <a:ext cx="808102" cy="808102"/>
        </a:xfrm>
        <a:prstGeom prst="rect">
          <a:avLst/>
        </a:prstGeom>
      </xdr:spPr>
    </xdr:pic>
    <xdr:clientData/>
  </xdr:twoCellAnchor>
  <xdr:twoCellAnchor editAs="oneCell">
    <xdr:from>
      <xdr:col>13</xdr:col>
      <xdr:colOff>421425</xdr:colOff>
      <xdr:row>26</xdr:row>
      <xdr:rowOff>145200</xdr:rowOff>
    </xdr:from>
    <xdr:to>
      <xdr:col>16</xdr:col>
      <xdr:colOff>200025</xdr:colOff>
      <xdr:row>36</xdr:row>
      <xdr:rowOff>171450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88900" y="4621950"/>
          <a:ext cx="1836000" cy="1836000"/>
        </a:xfrm>
        <a:prstGeom prst="rect">
          <a:avLst/>
        </a:prstGeom>
      </xdr:spPr>
    </xdr:pic>
    <xdr:clientData/>
  </xdr:twoCellAnchor>
  <xdr:twoCellAnchor editAs="oneCell">
    <xdr:from>
      <xdr:col>16</xdr:col>
      <xdr:colOff>380925</xdr:colOff>
      <xdr:row>16</xdr:row>
      <xdr:rowOff>66600</xdr:rowOff>
    </xdr:from>
    <xdr:to>
      <xdr:col>17</xdr:col>
      <xdr:colOff>533400</xdr:colOff>
      <xdr:row>20</xdr:row>
      <xdr:rowOff>180975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05800" y="2733600"/>
          <a:ext cx="838275" cy="838275"/>
        </a:xfrm>
        <a:prstGeom prst="rect">
          <a:avLst/>
        </a:prstGeom>
      </xdr:spPr>
    </xdr:pic>
    <xdr:clientData/>
  </xdr:twoCellAnchor>
  <xdr:twoCellAnchor editAs="oneCell">
    <xdr:from>
      <xdr:col>11</xdr:col>
      <xdr:colOff>549975</xdr:colOff>
      <xdr:row>21</xdr:row>
      <xdr:rowOff>26100</xdr:rowOff>
    </xdr:from>
    <xdr:to>
      <xdr:col>13</xdr:col>
      <xdr:colOff>478876</xdr:colOff>
      <xdr:row>28</xdr:row>
      <xdr:rowOff>59776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5850" y="3597975"/>
          <a:ext cx="1300501" cy="1300501"/>
        </a:xfrm>
        <a:prstGeom prst="rect">
          <a:avLst/>
        </a:prstGeom>
      </xdr:spPr>
    </xdr:pic>
    <xdr:clientData/>
  </xdr:twoCellAnchor>
  <xdr:twoCellAnchor editAs="oneCell">
    <xdr:from>
      <xdr:col>16</xdr:col>
      <xdr:colOff>71251</xdr:colOff>
      <xdr:row>10</xdr:row>
      <xdr:rowOff>261751</xdr:rowOff>
    </xdr:from>
    <xdr:to>
      <xdr:col>17</xdr:col>
      <xdr:colOff>323851</xdr:colOff>
      <xdr:row>15</xdr:row>
      <xdr:rowOff>123826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96126" y="1642876"/>
          <a:ext cx="938400" cy="938400"/>
        </a:xfrm>
        <a:prstGeom prst="rect">
          <a:avLst/>
        </a:prstGeom>
      </xdr:spPr>
    </xdr:pic>
    <xdr:clientData/>
  </xdr:twoCellAnchor>
  <xdr:twoCellAnchor editAs="oneCell">
    <xdr:from>
      <xdr:col>16</xdr:col>
      <xdr:colOff>230775</xdr:colOff>
      <xdr:row>28</xdr:row>
      <xdr:rowOff>135525</xdr:rowOff>
    </xdr:from>
    <xdr:to>
      <xdr:col>17</xdr:col>
      <xdr:colOff>457200</xdr:colOff>
      <xdr:row>33</xdr:row>
      <xdr:rowOff>142875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5650" y="4974225"/>
          <a:ext cx="912225" cy="912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92625</xdr:colOff>
      <xdr:row>31</xdr:row>
      <xdr:rowOff>35475</xdr:rowOff>
    </xdr:from>
    <xdr:to>
      <xdr:col>13</xdr:col>
      <xdr:colOff>323850</xdr:colOff>
      <xdr:row>36</xdr:row>
      <xdr:rowOff>47625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74300" y="5417100"/>
          <a:ext cx="917025" cy="917025"/>
        </a:xfrm>
        <a:prstGeom prst="rect">
          <a:avLst/>
        </a:prstGeom>
      </xdr:spPr>
    </xdr:pic>
    <xdr:clientData/>
  </xdr:twoCellAnchor>
  <xdr:twoCellAnchor editAs="oneCell">
    <xdr:from>
      <xdr:col>11</xdr:col>
      <xdr:colOff>47624</xdr:colOff>
      <xdr:row>0</xdr:row>
      <xdr:rowOff>0</xdr:rowOff>
    </xdr:from>
    <xdr:to>
      <xdr:col>14</xdr:col>
      <xdr:colOff>342899</xdr:colOff>
      <xdr:row>11</xdr:row>
      <xdr:rowOff>66675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1424" y="0"/>
          <a:ext cx="2352675" cy="2352675"/>
        </a:xfrm>
        <a:prstGeom prst="rect">
          <a:avLst/>
        </a:prstGeom>
      </xdr:spPr>
    </xdr:pic>
    <xdr:clientData/>
  </xdr:twoCellAnchor>
  <xdr:twoCellAnchor editAs="oneCell">
    <xdr:from>
      <xdr:col>11</xdr:col>
      <xdr:colOff>583125</xdr:colOff>
      <xdr:row>9</xdr:row>
      <xdr:rowOff>68775</xdr:rowOff>
    </xdr:from>
    <xdr:to>
      <xdr:col>13</xdr:col>
      <xdr:colOff>114300</xdr:colOff>
      <xdr:row>14</xdr:row>
      <xdr:rowOff>135203</xdr:rowOff>
    </xdr:to>
    <xdr:pic>
      <xdr:nvPicPr>
        <xdr:cNvPr id="18" name="Imagem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9000" y="1268925"/>
          <a:ext cx="902775" cy="1142753"/>
        </a:xfrm>
        <a:prstGeom prst="rect">
          <a:avLst/>
        </a:prstGeom>
      </xdr:spPr>
    </xdr:pic>
    <xdr:clientData/>
  </xdr:twoCellAnchor>
  <xdr:twoCellAnchor editAs="oneCell">
    <xdr:from>
      <xdr:col>8</xdr:col>
      <xdr:colOff>407176</xdr:colOff>
      <xdr:row>12</xdr:row>
      <xdr:rowOff>188101</xdr:rowOff>
    </xdr:from>
    <xdr:to>
      <xdr:col>10</xdr:col>
      <xdr:colOff>186462</xdr:colOff>
      <xdr:row>18</xdr:row>
      <xdr:rowOff>161926</xdr:rowOff>
    </xdr:to>
    <xdr:pic>
      <xdr:nvPicPr>
        <xdr:cNvPr id="51" name="Imagem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3576" y="2655076"/>
          <a:ext cx="1150886" cy="1145400"/>
        </a:xfrm>
        <a:prstGeom prst="rect">
          <a:avLst/>
        </a:prstGeom>
      </xdr:spPr>
    </xdr:pic>
    <xdr:clientData/>
  </xdr:twoCellAnchor>
  <xdr:twoCellAnchor editAs="oneCell">
    <xdr:from>
      <xdr:col>3</xdr:col>
      <xdr:colOff>61876</xdr:colOff>
      <xdr:row>13</xdr:row>
      <xdr:rowOff>152400</xdr:rowOff>
    </xdr:from>
    <xdr:to>
      <xdr:col>4</xdr:col>
      <xdr:colOff>228600</xdr:colOff>
      <xdr:row>18</xdr:row>
      <xdr:rowOff>96310</xdr:rowOff>
    </xdr:to>
    <xdr:pic>
      <xdr:nvPicPr>
        <xdr:cNvPr id="52" name="Imagem 51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9276" y="2886075"/>
          <a:ext cx="852524" cy="84878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</xdr:row>
      <xdr:rowOff>14287</xdr:rowOff>
    </xdr:from>
    <xdr:to>
      <xdr:col>6</xdr:col>
      <xdr:colOff>457200</xdr:colOff>
      <xdr:row>17</xdr:row>
      <xdr:rowOff>23812</xdr:rowOff>
    </xdr:to>
    <xdr:graphicFrame macro="">
      <xdr:nvGraphicFramePr>
        <xdr:cNvPr id="54" name="Diagrama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6" r:lo="rId17" r:qs="rId18" r:cs="rId19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-30032325</xdr:colOff>
      <xdr:row>2</xdr:row>
      <xdr:rowOff>171450</xdr:rowOff>
    </xdr:from>
    <xdr:to>
      <xdr:col>0</xdr:col>
      <xdr:colOff>-29994225</xdr:colOff>
      <xdr:row>2</xdr:row>
      <xdr:rowOff>171450</xdr:rowOff>
    </xdr:to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 rot="10800000" flipH="1">
          <a:off x="-30032325" y="581025"/>
          <a:ext cx="38100" cy="0"/>
        </a:xfrm>
        <a:custGeom>
          <a:avLst/>
          <a:gdLst/>
          <a:ahLst/>
          <a:cxnLst/>
          <a:rect l="0" t="0" r="0" b="0"/>
          <a:pathLst>
            <a:path w="120000" h="120000" extrusionOk="0">
              <a:moveTo>
                <a:pt x="0" y="0"/>
              </a:moveTo>
              <a:lnTo>
                <a:pt x="120000" y="0"/>
              </a:lnTo>
              <a:lnTo>
                <a:pt x="120000" y="120000"/>
              </a:lnTo>
              <a:lnTo>
                <a:pt x="0" y="120000"/>
              </a:lnTo>
              <a:lnTo>
                <a:pt x="0" y="0"/>
              </a:lnTo>
              <a:close/>
            </a:path>
          </a:pathLst>
        </a:custGeom>
        <a:solidFill>
          <a:srgbClr val="9BBB59"/>
        </a:solidFill>
        <a:ln w="38150" cap="sq" cmpd="sng">
          <a:solidFill>
            <a:srgbClr val="F2F2F2"/>
          </a:solidFill>
          <a:prstDash val="solid"/>
          <a:miter/>
          <a:headEnd type="none" w="med" len="med"/>
          <a:tailEnd type="none" w="med" len="med"/>
        </a:ln>
      </xdr:spPr>
      <xdr:txBody>
        <a:bodyPr lIns="20150" tIns="20150" rIns="20150" bIns="20150" anchor="t" anchorCtr="0">
          <a:noAutofit/>
        </a:bodyPr>
        <a:lstStyle/>
        <a:p>
          <a:pPr lvl="0" indent="0" algn="l" rtl="0">
            <a:spcBef>
              <a:spcPts val="0"/>
            </a:spcBef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twoCellAnchor>
  <xdr:twoCellAnchor>
    <xdr:from>
      <xdr:col>3</xdr:col>
      <xdr:colOff>751349</xdr:colOff>
      <xdr:row>1907</xdr:row>
      <xdr:rowOff>2115978</xdr:rowOff>
    </xdr:from>
    <xdr:to>
      <xdr:col>7</xdr:col>
      <xdr:colOff>693964</xdr:colOff>
      <xdr:row>1907</xdr:row>
      <xdr:rowOff>2334022</xdr:rowOff>
    </xdr:to>
    <xdr:sp macro="" textlink="">
      <xdr:nvSpPr>
        <xdr:cNvPr id="5" name="Shape 8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5321081" y="342816157"/>
          <a:ext cx="3389758" cy="218044"/>
        </a:xfrm>
        <a:custGeom>
          <a:avLst/>
          <a:gdLst/>
          <a:ahLst/>
          <a:cxnLst/>
          <a:rect l="0" t="0" r="0" b="0"/>
          <a:pathLst>
            <a:path w="120000" h="120000" extrusionOk="0">
              <a:moveTo>
                <a:pt x="0" y="0"/>
              </a:moveTo>
              <a:lnTo>
                <a:pt x="120000" y="0"/>
              </a:lnTo>
              <a:lnTo>
                <a:pt x="120000" y="120000"/>
              </a:lnTo>
              <a:lnTo>
                <a:pt x="0" y="120000"/>
              </a:lnTo>
              <a:lnTo>
                <a:pt x="0" y="0"/>
              </a:lnTo>
              <a:close/>
            </a:path>
          </a:pathLst>
        </a:custGeom>
        <a:noFill/>
        <a:ln>
          <a:noFill/>
        </a:ln>
      </xdr:spPr>
      <xdr:txBody>
        <a:bodyPr lIns="20150" tIns="20150" rIns="20150" bIns="20150" anchor="ctr" anchorCtr="1">
          <a:noAutofit/>
        </a:bodyPr>
        <a:lstStyle/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_________________________________</a:t>
          </a:r>
        </a:p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Giovani Merenda</a:t>
          </a:r>
        </a:p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1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Diretoria Executiva</a:t>
          </a:r>
        </a:p>
      </xdr:txBody>
    </xdr:sp>
    <xdr:clientData fLocksWithSheet="0"/>
  </xdr:twoCellAnchor>
  <xdr:twoCellAnchor>
    <xdr:from>
      <xdr:col>0</xdr:col>
      <xdr:colOff>0</xdr:colOff>
      <xdr:row>1914</xdr:row>
      <xdr:rowOff>69948</xdr:rowOff>
    </xdr:from>
    <xdr:to>
      <xdr:col>1</xdr:col>
      <xdr:colOff>762637</xdr:colOff>
      <xdr:row>1916</xdr:row>
      <xdr:rowOff>174490</xdr:rowOff>
    </xdr:to>
    <xdr:sp macro="" textlink="">
      <xdr:nvSpPr>
        <xdr:cNvPr id="7" name="Shape 10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0" y="380860863"/>
          <a:ext cx="3654985" cy="476249"/>
        </a:xfrm>
        <a:prstGeom prst="rect">
          <a:avLst/>
        </a:prstGeom>
        <a:noFill/>
        <a:ln>
          <a:noFill/>
        </a:ln>
      </xdr:spPr>
      <xdr:txBody>
        <a:bodyPr lIns="90000" tIns="45000" rIns="90000" bIns="45000" anchor="t" anchorCtr="0">
          <a:noAutofit/>
        </a:bodyPr>
        <a:lstStyle/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Rua Cônego Jerônimo Pimentel - 543</a:t>
          </a:r>
          <a:r>
            <a:rPr lang="en-US" sz="1000" b="0" i="0" u="none" strike="noStrike" cap="non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 - </a:t>
          </a: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Umarizal, Belém - PA</a:t>
          </a:r>
        </a:p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CEP 66.055-000. (91) 3239 – 3800 /3845/ 3831.</a:t>
          </a:r>
        </a:p>
      </xdr:txBody>
    </xdr:sp>
    <xdr:clientData fLocksWithSheet="0"/>
  </xdr:twoCellAnchor>
  <xdr:twoCellAnchor editAs="oneCell">
    <xdr:from>
      <xdr:col>0</xdr:col>
      <xdr:colOff>103018</xdr:colOff>
      <xdr:row>0</xdr:row>
      <xdr:rowOff>135467</xdr:rowOff>
    </xdr:from>
    <xdr:to>
      <xdr:col>0</xdr:col>
      <xdr:colOff>2096731</xdr:colOff>
      <xdr:row>3</xdr:row>
      <xdr:rowOff>50679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18" y="135467"/>
          <a:ext cx="1993713" cy="472773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1916</xdr:row>
      <xdr:rowOff>54410</xdr:rowOff>
    </xdr:from>
    <xdr:to>
      <xdr:col>4</xdr:col>
      <xdr:colOff>585107</xdr:colOff>
      <xdr:row>1916</xdr:row>
      <xdr:rowOff>174893</xdr:rowOff>
    </xdr:to>
    <xdr:sp macro="" textlink="">
      <xdr:nvSpPr>
        <xdr:cNvPr id="13" name="Rectangle 91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 noChangeArrowheads="1"/>
        </xdr:cNvSpPr>
      </xdr:nvSpPr>
      <xdr:spPr bwMode="auto">
        <a:xfrm>
          <a:off x="0" y="381217032"/>
          <a:ext cx="6032942" cy="120483"/>
        </a:xfrm>
        <a:prstGeom prst="rect">
          <a:avLst/>
        </a:prstGeom>
        <a:solidFill>
          <a:srgbClr val="00206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0</xdr:colOff>
      <xdr:row>1916</xdr:row>
      <xdr:rowOff>163971</xdr:rowOff>
    </xdr:from>
    <xdr:to>
      <xdr:col>5</xdr:col>
      <xdr:colOff>381000</xdr:colOff>
      <xdr:row>1917</xdr:row>
      <xdr:rowOff>77412</xdr:rowOff>
    </xdr:to>
    <xdr:sp macro="" textlink="">
      <xdr:nvSpPr>
        <xdr:cNvPr id="14" name="Rectangle 92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 noChangeArrowheads="1"/>
        </xdr:cNvSpPr>
      </xdr:nvSpPr>
      <xdr:spPr bwMode="auto">
        <a:xfrm>
          <a:off x="0" y="381326593"/>
          <a:ext cx="6700024" cy="99295"/>
        </a:xfrm>
        <a:prstGeom prst="rect">
          <a:avLst/>
        </a:prstGeom>
        <a:solidFill>
          <a:srgbClr val="C0000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656074</xdr:colOff>
      <xdr:row>1907</xdr:row>
      <xdr:rowOff>2111507</xdr:rowOff>
    </xdr:from>
    <xdr:to>
      <xdr:col>10</xdr:col>
      <xdr:colOff>572678</xdr:colOff>
      <xdr:row>1907</xdr:row>
      <xdr:rowOff>2329551</xdr:rowOff>
    </xdr:to>
    <xdr:sp macro="" textlink="">
      <xdr:nvSpPr>
        <xdr:cNvPr id="12" name="Shape 8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7777145" y="342811686"/>
          <a:ext cx="3295712" cy="218044"/>
        </a:xfrm>
        <a:custGeom>
          <a:avLst/>
          <a:gdLst/>
          <a:ahLst/>
          <a:cxnLst/>
          <a:rect l="0" t="0" r="0" b="0"/>
          <a:pathLst>
            <a:path w="120000" h="120000" extrusionOk="0">
              <a:moveTo>
                <a:pt x="0" y="0"/>
              </a:moveTo>
              <a:lnTo>
                <a:pt x="120000" y="0"/>
              </a:lnTo>
              <a:lnTo>
                <a:pt x="120000" y="120000"/>
              </a:lnTo>
              <a:lnTo>
                <a:pt x="0" y="120000"/>
              </a:lnTo>
              <a:lnTo>
                <a:pt x="0" y="0"/>
              </a:lnTo>
              <a:close/>
            </a:path>
          </a:pathLst>
        </a:custGeom>
        <a:noFill/>
        <a:ln>
          <a:noFill/>
        </a:ln>
      </xdr:spPr>
      <xdr:txBody>
        <a:bodyPr lIns="20150" tIns="20150" rIns="20150" bIns="20150" anchor="ctr" anchorCtr="1">
          <a:noAutofit/>
        </a:bodyPr>
        <a:lstStyle/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                                                                     _________________________________</a:t>
          </a:r>
        </a:p>
        <a:p>
          <a:r>
            <a:rPr lang="pt-BR" sz="1200" b="0" i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             Rodrigo Fröhlich</a:t>
          </a:r>
        </a:p>
        <a:p>
          <a:r>
            <a:rPr lang="en-US" sz="1200" b="1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Diretoria Administrativa e Financeira</a:t>
          </a:r>
        </a:p>
      </xdr:txBody>
    </xdr:sp>
    <xdr:clientData fLocksWithSheet="0"/>
  </xdr:twoCellAnchor>
  <xdr:twoCellAnchor editAs="oneCell">
    <xdr:from>
      <xdr:col>13</xdr:col>
      <xdr:colOff>436878</xdr:colOff>
      <xdr:row>1913</xdr:row>
      <xdr:rowOff>93836</xdr:rowOff>
    </xdr:from>
    <xdr:to>
      <xdr:col>14</xdr:col>
      <xdr:colOff>819847</xdr:colOff>
      <xdr:row>1916</xdr:row>
      <xdr:rowOff>176404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5719" y="380698897"/>
          <a:ext cx="1370317" cy="640129"/>
        </a:xfrm>
        <a:prstGeom prst="rect">
          <a:avLst/>
        </a:prstGeom>
      </xdr:spPr>
    </xdr:pic>
    <xdr:clientData/>
  </xdr:twoCellAnchor>
  <xdr:twoCellAnchor editAs="oneCell">
    <xdr:from>
      <xdr:col>12</xdr:col>
      <xdr:colOff>166688</xdr:colOff>
      <xdr:row>0</xdr:row>
      <xdr:rowOff>107157</xdr:rowOff>
    </xdr:from>
    <xdr:to>
      <xdr:col>14</xdr:col>
      <xdr:colOff>726163</xdr:colOff>
      <xdr:row>3</xdr:row>
      <xdr:rowOff>43435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65844" y="107157"/>
          <a:ext cx="2393040" cy="472059"/>
        </a:xfrm>
        <a:prstGeom prst="rect">
          <a:avLst/>
        </a:prstGeom>
      </xdr:spPr>
    </xdr:pic>
    <xdr:clientData/>
  </xdr:twoCellAnchor>
  <xdr:twoCellAnchor editAs="oneCell">
    <xdr:from>
      <xdr:col>12</xdr:col>
      <xdr:colOff>13657</xdr:colOff>
      <xdr:row>1913</xdr:row>
      <xdr:rowOff>178507</xdr:rowOff>
    </xdr:from>
    <xdr:to>
      <xdr:col>13</xdr:col>
      <xdr:colOff>297007</xdr:colOff>
      <xdr:row>1917</xdr:row>
      <xdr:rowOff>4516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4541" y="380783568"/>
          <a:ext cx="1131307" cy="5694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202403</xdr:colOff>
      <xdr:row>10</xdr:row>
      <xdr:rowOff>163507</xdr:rowOff>
    </xdr:from>
    <xdr:to>
      <xdr:col>4</xdr:col>
      <xdr:colOff>154778</xdr:colOff>
      <xdr:row>27</xdr:row>
      <xdr:rowOff>123820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661985</xdr:colOff>
      <xdr:row>10</xdr:row>
      <xdr:rowOff>158749</xdr:rowOff>
    </xdr:from>
    <xdr:to>
      <xdr:col>12</xdr:col>
      <xdr:colOff>266698</xdr:colOff>
      <xdr:row>27</xdr:row>
      <xdr:rowOff>123824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235740</xdr:colOff>
      <xdr:row>31</xdr:row>
      <xdr:rowOff>30155</xdr:rowOff>
    </xdr:from>
    <xdr:to>
      <xdr:col>4</xdr:col>
      <xdr:colOff>164302</xdr:colOff>
      <xdr:row>47</xdr:row>
      <xdr:rowOff>164299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24603</xdr:colOff>
      <xdr:row>31</xdr:row>
      <xdr:rowOff>9520</xdr:rowOff>
    </xdr:from>
    <xdr:to>
      <xdr:col>12</xdr:col>
      <xdr:colOff>250028</xdr:colOff>
      <xdr:row>48</xdr:row>
      <xdr:rowOff>28570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53</xdr:row>
      <xdr:rowOff>70817</xdr:rowOff>
    </xdr:from>
    <xdr:to>
      <xdr:col>2</xdr:col>
      <xdr:colOff>277813</xdr:colOff>
      <xdr:row>55</xdr:row>
      <xdr:rowOff>130953</xdr:rowOff>
    </xdr:to>
    <xdr:sp macro="" textlink="">
      <xdr:nvSpPr>
        <xdr:cNvPr id="6" name="Shape 10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0" y="9631536"/>
          <a:ext cx="4409282" cy="417323"/>
        </a:xfrm>
        <a:prstGeom prst="rect">
          <a:avLst/>
        </a:prstGeom>
        <a:noFill/>
        <a:ln>
          <a:noFill/>
        </a:ln>
      </xdr:spPr>
      <xdr:txBody>
        <a:bodyPr lIns="90000" tIns="45000" rIns="90000" bIns="45000" anchor="t" anchorCtr="0">
          <a:noAutofit/>
        </a:bodyPr>
        <a:lstStyle/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Rua Cônego Jerônimo Pimentel - 543</a:t>
          </a:r>
          <a:r>
            <a:rPr lang="en-US" sz="1000" b="0" i="0" u="none" strike="noStrike" cap="non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 - </a:t>
          </a: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Umarizal, Belém - PA</a:t>
          </a:r>
        </a:p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CEP 66.055-000. (91) 3239 – 3800 /3845/ 3831.</a:t>
          </a:r>
        </a:p>
      </xdr:txBody>
    </xdr:sp>
    <xdr:clientData fLocksWithSheet="0"/>
  </xdr:twoCellAnchor>
  <xdr:twoCellAnchor>
    <xdr:from>
      <xdr:col>0</xdr:col>
      <xdr:colOff>24982</xdr:colOff>
      <xdr:row>55</xdr:row>
      <xdr:rowOff>107142</xdr:rowOff>
    </xdr:from>
    <xdr:to>
      <xdr:col>4</xdr:col>
      <xdr:colOff>498964</xdr:colOff>
      <xdr:row>56</xdr:row>
      <xdr:rowOff>26269</xdr:rowOff>
    </xdr:to>
    <xdr:sp macro="" textlink="">
      <xdr:nvSpPr>
        <xdr:cNvPr id="11" name="Rectangle 91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>
          <a:spLocks noChangeArrowheads="1"/>
        </xdr:cNvSpPr>
      </xdr:nvSpPr>
      <xdr:spPr bwMode="auto">
        <a:xfrm>
          <a:off x="24982" y="10025048"/>
          <a:ext cx="5986576" cy="97721"/>
        </a:xfrm>
        <a:prstGeom prst="rect">
          <a:avLst/>
        </a:prstGeom>
        <a:solidFill>
          <a:srgbClr val="00206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25249</xdr:colOff>
      <xdr:row>56</xdr:row>
      <xdr:rowOff>39867</xdr:rowOff>
    </xdr:from>
    <xdr:to>
      <xdr:col>5</xdr:col>
      <xdr:colOff>481655</xdr:colOff>
      <xdr:row>56</xdr:row>
      <xdr:rowOff>119050</xdr:rowOff>
    </xdr:to>
    <xdr:sp macro="" textlink="">
      <xdr:nvSpPr>
        <xdr:cNvPr id="12" name="Rectangle 92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 noChangeArrowheads="1"/>
        </xdr:cNvSpPr>
      </xdr:nvSpPr>
      <xdr:spPr bwMode="auto">
        <a:xfrm>
          <a:off x="25249" y="10136367"/>
          <a:ext cx="6659562" cy="79183"/>
        </a:xfrm>
        <a:prstGeom prst="rect">
          <a:avLst/>
        </a:prstGeom>
        <a:solidFill>
          <a:srgbClr val="C0000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11</xdr:col>
      <xdr:colOff>124627</xdr:colOff>
      <xdr:row>52</xdr:row>
      <xdr:rowOff>170648</xdr:rowOff>
    </xdr:from>
    <xdr:to>
      <xdr:col>12</xdr:col>
      <xdr:colOff>619122</xdr:colOff>
      <xdr:row>56</xdr:row>
      <xdr:rowOff>49578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47346" y="9552773"/>
          <a:ext cx="1185057" cy="593305"/>
        </a:xfrm>
        <a:prstGeom prst="rect">
          <a:avLst/>
        </a:prstGeom>
      </xdr:spPr>
    </xdr:pic>
    <xdr:clientData/>
  </xdr:twoCellAnchor>
  <xdr:twoCellAnchor editAs="oneCell">
    <xdr:from>
      <xdr:col>9</xdr:col>
      <xdr:colOff>325433</xdr:colOff>
      <xdr:row>52</xdr:row>
      <xdr:rowOff>174616</xdr:rowOff>
    </xdr:from>
    <xdr:to>
      <xdr:col>11</xdr:col>
      <xdr:colOff>489</xdr:colOff>
      <xdr:row>56</xdr:row>
      <xdr:rowOff>16452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67027" y="9556741"/>
          <a:ext cx="1056181" cy="556211"/>
        </a:xfrm>
        <a:prstGeom prst="rect">
          <a:avLst/>
        </a:prstGeom>
      </xdr:spPr>
    </xdr:pic>
    <xdr:clientData/>
  </xdr:twoCellAnchor>
  <xdr:twoCellAnchor editAs="oneCell">
    <xdr:from>
      <xdr:col>0</xdr:col>
      <xdr:colOff>71438</xdr:colOff>
      <xdr:row>6</xdr:row>
      <xdr:rowOff>87840</xdr:rowOff>
    </xdr:from>
    <xdr:to>
      <xdr:col>0</xdr:col>
      <xdr:colOff>2065151</xdr:colOff>
      <xdr:row>9</xdr:row>
      <xdr:rowOff>18114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6255D388-3C0A-4ED2-988C-4E1740885C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8" y="1254653"/>
          <a:ext cx="1993713" cy="466055"/>
        </a:xfrm>
        <a:prstGeom prst="rect">
          <a:avLst/>
        </a:prstGeom>
      </xdr:spPr>
    </xdr:pic>
    <xdr:clientData/>
  </xdr:twoCellAnchor>
  <xdr:twoCellAnchor editAs="oneCell">
    <xdr:from>
      <xdr:col>9</xdr:col>
      <xdr:colOff>255461</xdr:colOff>
      <xdr:row>6</xdr:row>
      <xdr:rowOff>83343</xdr:rowOff>
    </xdr:from>
    <xdr:to>
      <xdr:col>12</xdr:col>
      <xdr:colOff>579395</xdr:colOff>
      <xdr:row>9</xdr:row>
      <xdr:rowOff>34683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F7B441E9-3772-4BC7-B322-2BEAFD9D0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97055" y="1250156"/>
          <a:ext cx="2395621" cy="48712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</xdr:row>
      <xdr:rowOff>71437</xdr:rowOff>
    </xdr:from>
    <xdr:to>
      <xdr:col>12</xdr:col>
      <xdr:colOff>678656</xdr:colOff>
      <xdr:row>10</xdr:row>
      <xdr:rowOff>35718</xdr:rowOff>
    </xdr:to>
    <xdr:sp macro="" textlink="">
      <xdr:nvSpPr>
        <xdr:cNvPr id="17" name="Rectangle 1">
          <a:extLst>
            <a:ext uri="{FF2B5EF4-FFF2-40B4-BE49-F238E27FC236}">
              <a16:creationId xmlns:a16="http://schemas.microsoft.com/office/drawing/2014/main" id="{E0073F1B-003E-4CD4-8F79-8833EBEBC3D7}"/>
            </a:ext>
          </a:extLst>
        </xdr:cNvPr>
        <xdr:cNvSpPr>
          <a:spLocks noChangeArrowheads="1"/>
        </xdr:cNvSpPr>
      </xdr:nvSpPr>
      <xdr:spPr bwMode="auto">
        <a:xfrm>
          <a:off x="0" y="1774031"/>
          <a:ext cx="11691937" cy="142875"/>
        </a:xfrm>
        <a:prstGeom prst="rect">
          <a:avLst/>
        </a:prstGeom>
        <a:solidFill>
          <a:srgbClr val="002060"/>
        </a:solidFill>
        <a:ln w="38100">
          <a:solidFill>
            <a:srgbClr val="F2F2F2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14</xdr:row>
      <xdr:rowOff>175403</xdr:rowOff>
    </xdr:from>
    <xdr:to>
      <xdr:col>6</xdr:col>
      <xdr:colOff>1578189</xdr:colOff>
      <xdr:row>30</xdr:row>
      <xdr:rowOff>38370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2202754</xdr:colOff>
      <xdr:row>14</xdr:row>
      <xdr:rowOff>136463</xdr:rowOff>
    </xdr:from>
    <xdr:to>
      <xdr:col>14</xdr:col>
      <xdr:colOff>322247</xdr:colOff>
      <xdr:row>30</xdr:row>
      <xdr:rowOff>1831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639536</xdr:colOff>
      <xdr:row>33</xdr:row>
      <xdr:rowOff>51596</xdr:rowOff>
    </xdr:from>
    <xdr:to>
      <xdr:col>6</xdr:col>
      <xdr:colOff>1572932</xdr:colOff>
      <xdr:row>48</xdr:row>
      <xdr:rowOff>80170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25077</xdr:colOff>
      <xdr:row>33</xdr:row>
      <xdr:rowOff>57758</xdr:rowOff>
    </xdr:from>
    <xdr:to>
      <xdr:col>14</xdr:col>
      <xdr:colOff>346659</xdr:colOff>
      <xdr:row>48</xdr:row>
      <xdr:rowOff>86332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11342</xdr:colOff>
      <xdr:row>56</xdr:row>
      <xdr:rowOff>126395</xdr:rowOff>
    </xdr:from>
    <xdr:to>
      <xdr:col>6</xdr:col>
      <xdr:colOff>559030</xdr:colOff>
      <xdr:row>58</xdr:row>
      <xdr:rowOff>163284</xdr:rowOff>
    </xdr:to>
    <xdr:sp macro="" textlink="">
      <xdr:nvSpPr>
        <xdr:cNvPr id="6" name="Shape 10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11342" y="10263716"/>
          <a:ext cx="4412117" cy="390675"/>
        </a:xfrm>
        <a:prstGeom prst="rect">
          <a:avLst/>
        </a:prstGeom>
        <a:noFill/>
        <a:ln>
          <a:noFill/>
        </a:ln>
      </xdr:spPr>
      <xdr:txBody>
        <a:bodyPr lIns="90000" tIns="45000" rIns="90000" bIns="45000" anchor="t" anchorCtr="0">
          <a:noAutofit/>
        </a:bodyPr>
        <a:lstStyle/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Rua Cônego Jerônimo Pimentel - 543</a:t>
          </a:r>
          <a:r>
            <a:rPr lang="en-US" sz="1000" b="0" i="0" u="none" strike="noStrike" cap="non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 - </a:t>
          </a: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Umarizal, Belém - PA</a:t>
          </a:r>
        </a:p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CEP 66.055-000. (91) 3239 – 3800 /3845/ 3831.</a:t>
          </a:r>
        </a:p>
      </xdr:txBody>
    </xdr:sp>
    <xdr:clientData fLocksWithSheet="0"/>
  </xdr:twoCellAnchor>
  <xdr:twoCellAnchor>
    <xdr:from>
      <xdr:col>0</xdr:col>
      <xdr:colOff>32353</xdr:colOff>
      <xdr:row>59</xdr:row>
      <xdr:rowOff>12481</xdr:rowOff>
    </xdr:from>
    <xdr:to>
      <xdr:col>6</xdr:col>
      <xdr:colOff>2139192</xdr:colOff>
      <xdr:row>59</xdr:row>
      <xdr:rowOff>144471</xdr:rowOff>
    </xdr:to>
    <xdr:sp macro="" textlink="">
      <xdr:nvSpPr>
        <xdr:cNvPr id="7" name="Rectangle 91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rrowheads="1"/>
        </xdr:cNvSpPr>
      </xdr:nvSpPr>
      <xdr:spPr bwMode="auto">
        <a:xfrm>
          <a:off x="32353" y="10680481"/>
          <a:ext cx="5971268" cy="131990"/>
        </a:xfrm>
        <a:prstGeom prst="rect">
          <a:avLst/>
        </a:prstGeom>
        <a:solidFill>
          <a:srgbClr val="00206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32620</xdr:colOff>
      <xdr:row>59</xdr:row>
      <xdr:rowOff>154717</xdr:rowOff>
    </xdr:from>
    <xdr:to>
      <xdr:col>8</xdr:col>
      <xdr:colOff>60401</xdr:colOff>
      <xdr:row>60</xdr:row>
      <xdr:rowOff>81237</xdr:rowOff>
    </xdr:to>
    <xdr:sp macro="" textlink="">
      <xdr:nvSpPr>
        <xdr:cNvPr id="8" name="Rectangle 9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rrowheads="1"/>
        </xdr:cNvSpPr>
      </xdr:nvSpPr>
      <xdr:spPr bwMode="auto">
        <a:xfrm>
          <a:off x="32620" y="10822717"/>
          <a:ext cx="6640852" cy="103413"/>
        </a:xfrm>
        <a:prstGeom prst="rect">
          <a:avLst/>
        </a:prstGeom>
        <a:solidFill>
          <a:srgbClr val="C0000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14</xdr:col>
      <xdr:colOff>239725</xdr:colOff>
      <xdr:row>55</xdr:row>
      <xdr:rowOff>97517</xdr:rowOff>
    </xdr:from>
    <xdr:to>
      <xdr:col>15</xdr:col>
      <xdr:colOff>555625</xdr:colOff>
      <xdr:row>60</xdr:row>
      <xdr:rowOff>48781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17225" y="10057946"/>
          <a:ext cx="996257" cy="835728"/>
        </a:xfrm>
        <a:prstGeom prst="rect">
          <a:avLst/>
        </a:prstGeom>
      </xdr:spPr>
    </xdr:pic>
    <xdr:clientData/>
  </xdr:twoCellAnchor>
  <xdr:twoCellAnchor editAs="oneCell">
    <xdr:from>
      <xdr:col>12</xdr:col>
      <xdr:colOff>330574</xdr:colOff>
      <xdr:row>56</xdr:row>
      <xdr:rowOff>90047</xdr:rowOff>
    </xdr:from>
    <xdr:to>
      <xdr:col>14</xdr:col>
      <xdr:colOff>131202</xdr:colOff>
      <xdr:row>59</xdr:row>
      <xdr:rowOff>154941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47360" y="10227368"/>
          <a:ext cx="1161342" cy="595573"/>
        </a:xfrm>
        <a:prstGeom prst="rect">
          <a:avLst/>
        </a:prstGeom>
      </xdr:spPr>
    </xdr:pic>
    <xdr:clientData/>
  </xdr:twoCellAnchor>
  <xdr:twoCellAnchor editAs="oneCell">
    <xdr:from>
      <xdr:col>0</xdr:col>
      <xdr:colOff>71438</xdr:colOff>
      <xdr:row>9</xdr:row>
      <xdr:rowOff>113353</xdr:rowOff>
    </xdr:from>
    <xdr:to>
      <xdr:col>2</xdr:col>
      <xdr:colOff>337044</xdr:colOff>
      <xdr:row>12</xdr:row>
      <xdr:rowOff>7908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64774E18-D977-4702-B064-024AE7BBAF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8" y="1882282"/>
          <a:ext cx="1993713" cy="466055"/>
        </a:xfrm>
        <a:prstGeom prst="rect">
          <a:avLst/>
        </a:prstGeom>
      </xdr:spPr>
    </xdr:pic>
    <xdr:clientData/>
  </xdr:twoCellAnchor>
  <xdr:twoCellAnchor editAs="oneCell">
    <xdr:from>
      <xdr:col>12</xdr:col>
      <xdr:colOff>148305</xdr:colOff>
      <xdr:row>9</xdr:row>
      <xdr:rowOff>108856</xdr:rowOff>
    </xdr:from>
    <xdr:to>
      <xdr:col>15</xdr:col>
      <xdr:colOff>502855</xdr:colOff>
      <xdr:row>12</xdr:row>
      <xdr:rowOff>24477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D1FD5192-209A-4B09-ACC2-DBBD67AD16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65091" y="1877785"/>
          <a:ext cx="2395621" cy="48712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12</xdr:row>
      <xdr:rowOff>61231</xdr:rowOff>
    </xdr:from>
    <xdr:to>
      <xdr:col>16</xdr:col>
      <xdr:colOff>0</xdr:colOff>
      <xdr:row>13</xdr:row>
      <xdr:rowOff>0</xdr:rowOff>
    </xdr:to>
    <xdr:sp macro="" textlink="">
      <xdr:nvSpPr>
        <xdr:cNvPr id="13" name="Rectangle 1">
          <a:extLst>
            <a:ext uri="{FF2B5EF4-FFF2-40B4-BE49-F238E27FC236}">
              <a16:creationId xmlns:a16="http://schemas.microsoft.com/office/drawing/2014/main" id="{F919362A-7306-4C63-93D9-08F88E16432E}"/>
            </a:ext>
          </a:extLst>
        </xdr:cNvPr>
        <xdr:cNvSpPr>
          <a:spLocks noChangeArrowheads="1"/>
        </xdr:cNvSpPr>
      </xdr:nvSpPr>
      <xdr:spPr bwMode="auto">
        <a:xfrm>
          <a:off x="0" y="2401660"/>
          <a:ext cx="11838214" cy="129269"/>
        </a:xfrm>
        <a:prstGeom prst="rect">
          <a:avLst/>
        </a:prstGeom>
        <a:solidFill>
          <a:srgbClr val="002060"/>
        </a:solidFill>
        <a:ln w="38100">
          <a:solidFill>
            <a:srgbClr val="F2F2F2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527048</xdr:colOff>
      <xdr:row>15</xdr:row>
      <xdr:rowOff>39685</xdr:rowOff>
    </xdr:from>
    <xdr:to>
      <xdr:col>12</xdr:col>
      <xdr:colOff>201083</xdr:colOff>
      <xdr:row>35</xdr:row>
      <xdr:rowOff>73024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15875</xdr:colOff>
      <xdr:row>56</xdr:row>
      <xdr:rowOff>111125</xdr:rowOff>
    </xdr:from>
    <xdr:to>
      <xdr:col>2</xdr:col>
      <xdr:colOff>642938</xdr:colOff>
      <xdr:row>58</xdr:row>
      <xdr:rowOff>158750</xdr:rowOff>
    </xdr:to>
    <xdr:sp macro="" textlink="">
      <xdr:nvSpPr>
        <xdr:cNvPr id="3" name="Shape 10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15875" y="10017125"/>
          <a:ext cx="4405313" cy="396875"/>
        </a:xfrm>
        <a:prstGeom prst="rect">
          <a:avLst/>
        </a:prstGeom>
        <a:noFill/>
        <a:ln>
          <a:noFill/>
        </a:ln>
      </xdr:spPr>
      <xdr:txBody>
        <a:bodyPr lIns="90000" tIns="45000" rIns="90000" bIns="45000" anchor="t" anchorCtr="0">
          <a:noAutofit/>
        </a:bodyPr>
        <a:lstStyle/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Rua Cônego Jerônimo Pimentel - 543</a:t>
          </a:r>
          <a:r>
            <a:rPr lang="en-US" sz="1200" b="0" i="0" u="none" strike="noStrike" cap="non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 - </a:t>
          </a: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Umarizal, Belém - PA</a:t>
          </a:r>
        </a:p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CEP 66.055-000. (91) 3239 – 3800 /3845/ 3831.</a:t>
          </a:r>
        </a:p>
      </xdr:txBody>
    </xdr:sp>
    <xdr:clientData fLocksWithSheet="0"/>
  </xdr:twoCellAnchor>
  <xdr:twoCellAnchor>
    <xdr:from>
      <xdr:col>0</xdr:col>
      <xdr:colOff>36886</xdr:colOff>
      <xdr:row>59</xdr:row>
      <xdr:rowOff>26694</xdr:rowOff>
    </xdr:from>
    <xdr:to>
      <xdr:col>5</xdr:col>
      <xdr:colOff>177493</xdr:colOff>
      <xdr:row>59</xdr:row>
      <xdr:rowOff>156416</xdr:rowOff>
    </xdr:to>
    <xdr:sp macro="" textlink="">
      <xdr:nvSpPr>
        <xdr:cNvPr id="5" name="Rectangle 91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>
          <a:spLocks noChangeArrowheads="1"/>
        </xdr:cNvSpPr>
      </xdr:nvSpPr>
      <xdr:spPr bwMode="auto">
        <a:xfrm>
          <a:off x="36886" y="10456569"/>
          <a:ext cx="5966732" cy="129722"/>
        </a:xfrm>
        <a:prstGeom prst="rect">
          <a:avLst/>
        </a:prstGeom>
        <a:solidFill>
          <a:srgbClr val="00206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37153</xdr:colOff>
      <xdr:row>59</xdr:row>
      <xdr:rowOff>166662</xdr:rowOff>
    </xdr:from>
    <xdr:to>
      <xdr:col>6</xdr:col>
      <xdr:colOff>160184</xdr:colOff>
      <xdr:row>60</xdr:row>
      <xdr:rowOff>93182</xdr:rowOff>
    </xdr:to>
    <xdr:sp macro="" textlink="">
      <xdr:nvSpPr>
        <xdr:cNvPr id="6" name="Rectangle 92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>
          <a:spLocks noChangeArrowheads="1"/>
        </xdr:cNvSpPr>
      </xdr:nvSpPr>
      <xdr:spPr bwMode="auto">
        <a:xfrm>
          <a:off x="37153" y="10596537"/>
          <a:ext cx="6631781" cy="101145"/>
        </a:xfrm>
        <a:prstGeom prst="rect">
          <a:avLst/>
        </a:prstGeom>
        <a:solidFill>
          <a:srgbClr val="C0000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11</xdr:col>
      <xdr:colOff>382600</xdr:colOff>
      <xdr:row>56</xdr:row>
      <xdr:rowOff>32353</xdr:rowOff>
    </xdr:from>
    <xdr:to>
      <xdr:col>12</xdr:col>
      <xdr:colOff>444821</xdr:colOff>
      <xdr:row>60</xdr:row>
      <xdr:rowOff>15875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4475" y="9938353"/>
          <a:ext cx="744846" cy="682022"/>
        </a:xfrm>
        <a:prstGeom prst="rect">
          <a:avLst/>
        </a:prstGeom>
      </xdr:spPr>
    </xdr:pic>
    <xdr:clientData/>
  </xdr:twoCellAnchor>
  <xdr:twoCellAnchor editAs="oneCell">
    <xdr:from>
      <xdr:col>9</xdr:col>
      <xdr:colOff>619125</xdr:colOff>
      <xdr:row>56</xdr:row>
      <xdr:rowOff>158751</xdr:rowOff>
    </xdr:from>
    <xdr:to>
      <xdr:col>11</xdr:col>
      <xdr:colOff>237224</xdr:colOff>
      <xdr:row>59</xdr:row>
      <xdr:rowOff>142876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75750" y="10064751"/>
          <a:ext cx="983349" cy="508000"/>
        </a:xfrm>
        <a:prstGeom prst="rect">
          <a:avLst/>
        </a:prstGeom>
      </xdr:spPr>
    </xdr:pic>
    <xdr:clientData/>
  </xdr:twoCellAnchor>
  <xdr:twoCellAnchor editAs="oneCell">
    <xdr:from>
      <xdr:col>0</xdr:col>
      <xdr:colOff>71438</xdr:colOff>
      <xdr:row>6</xdr:row>
      <xdr:rowOff>147372</xdr:rowOff>
    </xdr:from>
    <xdr:to>
      <xdr:col>0</xdr:col>
      <xdr:colOff>2051544</xdr:colOff>
      <xdr:row>9</xdr:row>
      <xdr:rowOff>89552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58BE8B12-01A9-425F-86AD-AD36908F7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8" y="1322122"/>
          <a:ext cx="1980106" cy="466055"/>
        </a:xfrm>
        <a:prstGeom prst="rect">
          <a:avLst/>
        </a:prstGeom>
      </xdr:spPr>
    </xdr:pic>
    <xdr:clientData/>
  </xdr:twoCellAnchor>
  <xdr:twoCellAnchor editAs="oneCell">
    <xdr:from>
      <xdr:col>9</xdr:col>
      <xdr:colOff>225812</xdr:colOff>
      <xdr:row>6</xdr:row>
      <xdr:rowOff>127000</xdr:rowOff>
    </xdr:from>
    <xdr:to>
      <xdr:col>12</xdr:col>
      <xdr:colOff>583164</xdr:colOff>
      <xdr:row>9</xdr:row>
      <xdr:rowOff>90246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8FCF4148-39EA-4CA0-80F0-1F023E147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82437" y="1301750"/>
          <a:ext cx="2405227" cy="48712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</xdr:row>
      <xdr:rowOff>142875</xdr:rowOff>
    </xdr:from>
    <xdr:to>
      <xdr:col>12</xdr:col>
      <xdr:colOff>619125</xdr:colOff>
      <xdr:row>10</xdr:row>
      <xdr:rowOff>111125</xdr:rowOff>
    </xdr:to>
    <xdr:sp macro="" textlink="">
      <xdr:nvSpPr>
        <xdr:cNvPr id="11" name="Rectangle 1">
          <a:extLst>
            <a:ext uri="{FF2B5EF4-FFF2-40B4-BE49-F238E27FC236}">
              <a16:creationId xmlns:a16="http://schemas.microsoft.com/office/drawing/2014/main" id="{C8F6F010-AE19-449D-A6C8-FF9D651FAC87}"/>
            </a:ext>
          </a:extLst>
        </xdr:cNvPr>
        <xdr:cNvSpPr>
          <a:spLocks noChangeArrowheads="1"/>
        </xdr:cNvSpPr>
      </xdr:nvSpPr>
      <xdr:spPr bwMode="auto">
        <a:xfrm>
          <a:off x="0" y="1841500"/>
          <a:ext cx="11223625" cy="142875"/>
        </a:xfrm>
        <a:prstGeom prst="rect">
          <a:avLst/>
        </a:prstGeom>
        <a:solidFill>
          <a:srgbClr val="002060"/>
        </a:solidFill>
        <a:ln w="38100">
          <a:solidFill>
            <a:srgbClr val="F2F2F2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Vidro Esfumaçado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hade val="100000"/>
                <a:satMod val="100000"/>
              </a:schemeClr>
            </a:gs>
            <a:gs pos="100000">
              <a:schemeClr val="phClr">
                <a:tint val="61000"/>
                <a:alpha val="100000"/>
                <a:satMod val="18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shade val="85000"/>
              </a:schemeClr>
            </a:gs>
            <a:gs pos="100000">
              <a:schemeClr val="phClr">
                <a:tint val="90000"/>
                <a:alpha val="100000"/>
                <a:satMod val="18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0795" cap="flat" cmpd="sng" algn="ctr">
          <a:solidFill>
            <a:schemeClr val="phClr"/>
          </a:solidFill>
          <a:prstDash val="solid"/>
        </a:ln>
        <a:ln w="15240" cap="flat" cmpd="sng" algn="ctr">
          <a:solidFill>
            <a:schemeClr val="phClr">
              <a:tint val="25000"/>
              <a:alpha val="25000"/>
            </a:schemeClr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44450" dist="21590" dir="5400000" rotWithShape="0">
              <a:srgbClr val="000000">
                <a:alpha val="4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prstMaterial="flat">
            <a:bevelT w="28575" h="41275" prst="coolSlant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N21"/>
  <sheetViews>
    <sheetView zoomScaleNormal="100" workbookViewId="0">
      <selection activeCell="H8" sqref="H8"/>
    </sheetView>
  </sheetViews>
  <sheetFormatPr defaultRowHeight="14.25"/>
  <cols>
    <col min="1" max="11" width="9" style="4"/>
  </cols>
  <sheetData>
    <row r="1" spans="1:14" s="4" customFormat="1">
      <c r="A1" s="223"/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5"/>
    </row>
    <row r="2" spans="1:14" s="4" customFormat="1">
      <c r="A2" s="226"/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8"/>
    </row>
    <row r="3" spans="1:14" s="4" customFormat="1">
      <c r="A3" s="226"/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8"/>
    </row>
    <row r="4" spans="1:14" s="4" customFormat="1">
      <c r="A4" s="226"/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8"/>
    </row>
    <row r="5" spans="1:14" ht="24" customHeight="1">
      <c r="A5" s="226"/>
      <c r="B5" s="227"/>
      <c r="C5" s="227"/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8"/>
    </row>
    <row r="6" spans="1:14">
      <c r="A6" s="226"/>
      <c r="B6" s="227"/>
      <c r="C6" s="227"/>
      <c r="D6" s="227"/>
      <c r="E6" s="227"/>
      <c r="F6" s="227"/>
      <c r="G6" s="227"/>
      <c r="H6" s="227"/>
      <c r="I6" s="227"/>
      <c r="J6" s="227"/>
      <c r="K6" s="227"/>
      <c r="L6" s="227"/>
      <c r="M6" s="227"/>
      <c r="N6" s="228"/>
    </row>
    <row r="7" spans="1:14">
      <c r="A7" s="226"/>
      <c r="B7" s="227"/>
      <c r="C7" s="227"/>
      <c r="D7" s="227"/>
      <c r="E7" s="227"/>
      <c r="F7" s="227"/>
      <c r="G7" s="227"/>
      <c r="H7" s="227"/>
      <c r="I7" s="227"/>
      <c r="J7" s="227"/>
      <c r="K7" s="227"/>
      <c r="L7" s="227"/>
      <c r="M7" s="227"/>
      <c r="N7" s="228"/>
    </row>
    <row r="8" spans="1:14">
      <c r="A8" s="226"/>
      <c r="B8" s="227"/>
      <c r="C8" s="227"/>
      <c r="D8" s="227"/>
      <c r="E8" s="227"/>
      <c r="F8" s="227"/>
      <c r="G8" s="227"/>
      <c r="H8" s="227"/>
      <c r="I8" s="227"/>
      <c r="J8" s="227"/>
      <c r="K8" s="227"/>
      <c r="L8" s="227"/>
      <c r="M8" s="227"/>
      <c r="N8" s="228"/>
    </row>
    <row r="9" spans="1:14" ht="21" customHeight="1">
      <c r="A9" s="226"/>
      <c r="B9" s="227"/>
      <c r="C9" s="227"/>
      <c r="D9" s="227"/>
      <c r="E9" s="227"/>
      <c r="F9" s="227"/>
      <c r="G9" s="227"/>
      <c r="H9" s="227"/>
      <c r="I9" s="227"/>
      <c r="J9" s="227"/>
      <c r="K9" s="227"/>
      <c r="L9" s="227"/>
      <c r="M9" s="227"/>
      <c r="N9" s="228"/>
    </row>
    <row r="10" spans="1:14">
      <c r="A10" s="226"/>
      <c r="B10" s="227"/>
      <c r="C10" s="227"/>
      <c r="D10" s="227"/>
      <c r="E10" s="227"/>
      <c r="F10" s="227"/>
      <c r="G10" s="227"/>
      <c r="H10" s="227"/>
      <c r="I10" s="227"/>
      <c r="J10" s="227"/>
      <c r="K10" s="227"/>
      <c r="L10" s="227"/>
      <c r="M10" s="227"/>
      <c r="N10" s="228"/>
    </row>
    <row r="11" spans="1:14" ht="21" customHeight="1">
      <c r="A11" s="226"/>
      <c r="B11" s="227"/>
      <c r="C11" s="227"/>
      <c r="D11" s="227"/>
      <c r="E11" s="227"/>
      <c r="F11" s="227"/>
      <c r="G11" s="227"/>
      <c r="H11" s="227"/>
      <c r="I11" s="227"/>
      <c r="J11" s="227"/>
      <c r="K11" s="227"/>
      <c r="L11" s="227"/>
      <c r="M11" s="227"/>
      <c r="N11" s="228"/>
    </row>
    <row r="12" spans="1:14">
      <c r="A12" s="226"/>
      <c r="B12" s="227"/>
      <c r="C12" s="227"/>
      <c r="D12" s="227"/>
      <c r="E12" s="227"/>
      <c r="F12" s="227"/>
      <c r="G12" s="227"/>
      <c r="H12" s="227"/>
      <c r="I12" s="227"/>
      <c r="J12" s="227"/>
      <c r="K12" s="227"/>
      <c r="L12" s="227"/>
      <c r="M12" s="227"/>
      <c r="N12" s="228"/>
    </row>
    <row r="13" spans="1:14" ht="21" customHeight="1">
      <c r="A13" s="226"/>
      <c r="B13" s="227"/>
      <c r="C13" s="227"/>
      <c r="D13" s="227"/>
      <c r="E13" s="227"/>
      <c r="F13" s="227"/>
      <c r="G13" s="227"/>
      <c r="H13" s="227"/>
      <c r="I13" s="227"/>
      <c r="J13" s="227"/>
      <c r="K13" s="227"/>
      <c r="L13" s="227"/>
      <c r="M13" s="227"/>
      <c r="N13" s="228"/>
    </row>
    <row r="14" spans="1:14">
      <c r="A14" s="226"/>
      <c r="B14" s="227"/>
      <c r="C14" s="227"/>
      <c r="D14" s="227"/>
      <c r="E14" s="227"/>
      <c r="F14" s="227"/>
      <c r="G14" s="227"/>
      <c r="H14" s="227"/>
      <c r="I14" s="227"/>
      <c r="J14" s="227"/>
      <c r="K14" s="227"/>
      <c r="L14" s="227"/>
      <c r="M14" s="227"/>
      <c r="N14" s="228"/>
    </row>
    <row r="15" spans="1:14">
      <c r="A15" s="226"/>
      <c r="B15" s="227"/>
      <c r="C15" s="227"/>
      <c r="D15" s="227"/>
      <c r="E15" s="227"/>
      <c r="F15" s="227"/>
      <c r="G15" s="227"/>
      <c r="H15" s="227"/>
      <c r="I15" s="227"/>
      <c r="J15" s="227"/>
      <c r="K15" s="227"/>
      <c r="L15" s="227"/>
      <c r="M15" s="227"/>
      <c r="N15" s="228"/>
    </row>
    <row r="16" spans="1:14">
      <c r="A16" s="226"/>
      <c r="B16" s="227"/>
      <c r="C16" s="227"/>
      <c r="D16" s="227"/>
      <c r="E16" s="227"/>
      <c r="F16" s="227"/>
      <c r="G16" s="227"/>
      <c r="H16" s="227"/>
      <c r="I16" s="227"/>
      <c r="J16" s="227"/>
      <c r="K16" s="227"/>
      <c r="L16" s="227"/>
      <c r="M16" s="227"/>
      <c r="N16" s="228"/>
    </row>
    <row r="17" spans="1:14">
      <c r="A17" s="226"/>
      <c r="B17" s="227"/>
      <c r="C17" s="227"/>
      <c r="D17" s="227"/>
      <c r="E17" s="227"/>
      <c r="F17" s="227"/>
      <c r="G17" s="227"/>
      <c r="H17" s="227"/>
      <c r="I17" s="227"/>
      <c r="J17" s="227"/>
      <c r="K17" s="227"/>
      <c r="L17" s="227"/>
      <c r="M17" s="227"/>
      <c r="N17" s="228"/>
    </row>
    <row r="18" spans="1:14">
      <c r="A18" s="226"/>
      <c r="B18" s="227"/>
      <c r="C18" s="227"/>
      <c r="D18" s="227"/>
      <c r="E18" s="227"/>
      <c r="F18" s="227"/>
      <c r="G18" s="227"/>
      <c r="H18" s="227"/>
      <c r="I18" s="227"/>
      <c r="J18" s="227"/>
      <c r="K18" s="227"/>
      <c r="L18" s="227"/>
      <c r="M18" s="227"/>
      <c r="N18" s="228"/>
    </row>
    <row r="19" spans="1:14">
      <c r="A19" s="226"/>
      <c r="B19" s="227"/>
      <c r="C19" s="227"/>
      <c r="D19" s="227"/>
      <c r="E19" s="227"/>
      <c r="F19" s="227"/>
      <c r="G19" s="227"/>
      <c r="H19" s="227"/>
      <c r="I19" s="227"/>
      <c r="J19" s="227"/>
      <c r="K19" s="227"/>
      <c r="L19" s="227"/>
      <c r="M19" s="227"/>
      <c r="N19" s="228"/>
    </row>
    <row r="20" spans="1:14">
      <c r="A20" s="226"/>
      <c r="B20" s="227"/>
      <c r="C20" s="227"/>
      <c r="D20" s="227"/>
      <c r="E20" s="227"/>
      <c r="F20" s="227"/>
      <c r="G20" s="227"/>
      <c r="H20" s="227"/>
      <c r="I20" s="227"/>
      <c r="J20" s="227"/>
      <c r="K20" s="227"/>
      <c r="L20" s="227"/>
      <c r="M20" s="227"/>
      <c r="N20" s="228"/>
    </row>
    <row r="21" spans="1:14" ht="15" thickBot="1">
      <c r="A21" s="229"/>
      <c r="B21" s="230"/>
      <c r="C21" s="230"/>
      <c r="D21" s="230"/>
      <c r="E21" s="230"/>
      <c r="F21" s="230"/>
      <c r="G21" s="230"/>
      <c r="H21" s="230"/>
      <c r="I21" s="230"/>
      <c r="J21" s="230"/>
      <c r="K21" s="230"/>
      <c r="L21" s="230"/>
      <c r="M21" s="230"/>
      <c r="N21" s="231"/>
    </row>
  </sheetData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2">
    <tabColor rgb="FF00B050"/>
  </sheetPr>
  <dimension ref="A1:K97"/>
  <sheetViews>
    <sheetView showFormulas="1" topLeftCell="A19" zoomScale="85" zoomScaleNormal="85" zoomScaleSheetLayoutView="85" workbookViewId="0">
      <selection activeCell="H18" sqref="H18:I18"/>
    </sheetView>
  </sheetViews>
  <sheetFormatPr defaultRowHeight="15"/>
  <cols>
    <col min="1" max="1" width="5.625" style="284" customWidth="1"/>
    <col min="2" max="2" width="11.75" customWidth="1"/>
    <col min="3" max="3" width="8.625" customWidth="1"/>
    <col min="4" max="4" width="2.75" bestFit="1" customWidth="1"/>
    <col min="6" max="6" width="10.125" customWidth="1"/>
    <col min="7" max="7" width="3.375" customWidth="1"/>
    <col min="10" max="10" width="2.125" customWidth="1"/>
    <col min="11" max="11" width="13.125" customWidth="1"/>
  </cols>
  <sheetData>
    <row r="1" spans="1:11" ht="21.75" customHeight="1" thickTop="1" thickBot="1">
      <c r="A1" s="485" t="s">
        <v>513</v>
      </c>
      <c r="B1" s="486"/>
      <c r="C1" s="486"/>
      <c r="D1" s="486"/>
      <c r="E1" s="486"/>
      <c r="F1" s="486"/>
      <c r="G1" s="486"/>
      <c r="H1" s="486"/>
      <c r="I1" s="486"/>
      <c r="J1" s="486"/>
      <c r="K1" s="487"/>
    </row>
    <row r="2" spans="1:11" ht="15.75" thickTop="1">
      <c r="A2" s="297" t="s">
        <v>424</v>
      </c>
      <c r="B2" s="295">
        <v>2018</v>
      </c>
      <c r="C2" s="483"/>
      <c r="D2" s="483"/>
      <c r="E2" s="483"/>
      <c r="F2" s="483"/>
      <c r="G2" s="483"/>
      <c r="H2" s="483"/>
      <c r="I2" s="483"/>
      <c r="J2" s="483"/>
      <c r="K2" s="484"/>
    </row>
    <row r="3" spans="1:11">
      <c r="A3" s="298" t="s">
        <v>425</v>
      </c>
      <c r="B3" s="265" t="s">
        <v>584</v>
      </c>
      <c r="C3" s="481" t="s">
        <v>585</v>
      </c>
      <c r="D3" s="481"/>
      <c r="E3" s="481"/>
      <c r="F3" s="481"/>
      <c r="G3" s="481"/>
      <c r="H3" s="481"/>
      <c r="I3" s="481"/>
      <c r="J3" s="481"/>
      <c r="K3" s="482"/>
    </row>
    <row r="4" spans="1:11">
      <c r="A4" s="298"/>
      <c r="B4" s="265" t="s">
        <v>426</v>
      </c>
      <c r="C4" s="481" t="s">
        <v>586</v>
      </c>
      <c r="D4" s="481"/>
      <c r="E4" s="481"/>
      <c r="F4" s="481"/>
      <c r="G4" s="481"/>
      <c r="H4" s="481"/>
      <c r="I4" s="481"/>
      <c r="J4" s="481"/>
      <c r="K4" s="482"/>
    </row>
    <row r="5" spans="1:11">
      <c r="A5" s="298"/>
      <c r="B5" s="265" t="s">
        <v>427</v>
      </c>
      <c r="C5" s="481" t="s">
        <v>587</v>
      </c>
      <c r="D5" s="481"/>
      <c r="E5" s="481"/>
      <c r="F5" s="481"/>
      <c r="G5" s="481"/>
      <c r="H5" s="481"/>
      <c r="I5" s="481"/>
      <c r="J5" s="481"/>
      <c r="K5" s="482"/>
    </row>
    <row r="6" spans="1:11">
      <c r="A6" s="298"/>
      <c r="B6" s="265" t="s">
        <v>428</v>
      </c>
      <c r="C6" s="481" t="s">
        <v>588</v>
      </c>
      <c r="D6" s="481"/>
      <c r="E6" s="481"/>
      <c r="F6" s="481"/>
      <c r="G6" s="481"/>
      <c r="H6" s="481"/>
      <c r="I6" s="481"/>
      <c r="J6" s="481"/>
      <c r="K6" s="482"/>
    </row>
    <row r="7" spans="1:11" s="4" customFormat="1" ht="15.75" thickBot="1">
      <c r="A7" s="299"/>
      <c r="B7" s="296" t="s">
        <v>589</v>
      </c>
      <c r="C7" s="488" t="s">
        <v>590</v>
      </c>
      <c r="D7" s="488"/>
      <c r="E7" s="488"/>
      <c r="F7" s="488"/>
      <c r="G7" s="488"/>
      <c r="H7" s="488"/>
      <c r="I7" s="488"/>
      <c r="J7" s="488"/>
      <c r="K7" s="489"/>
    </row>
    <row r="8" spans="1:11" ht="16.5" thickTop="1" thickBot="1">
      <c r="A8" s="478" t="s">
        <v>429</v>
      </c>
      <c r="B8" s="479"/>
      <c r="C8" s="479"/>
      <c r="D8" s="479"/>
      <c r="E8" s="479"/>
      <c r="F8" s="479"/>
      <c r="G8" s="479"/>
      <c r="H8" s="479"/>
      <c r="I8" s="479"/>
      <c r="J8" s="479"/>
      <c r="K8" s="480"/>
    </row>
    <row r="9" spans="1:11" ht="15.75" thickTop="1">
      <c r="A9" s="286" t="s">
        <v>430</v>
      </c>
      <c r="B9" s="494" t="s">
        <v>431</v>
      </c>
      <c r="C9" s="494"/>
      <c r="D9" s="293" t="s">
        <v>486</v>
      </c>
      <c r="E9" s="490" t="s">
        <v>501</v>
      </c>
      <c r="F9" s="490" t="s">
        <v>501</v>
      </c>
      <c r="G9" s="293" t="s">
        <v>514</v>
      </c>
      <c r="H9" s="490" t="s">
        <v>583</v>
      </c>
      <c r="I9" s="490" t="s">
        <v>583</v>
      </c>
      <c r="J9" s="293" t="s">
        <v>563</v>
      </c>
      <c r="K9" s="314" t="s">
        <v>572</v>
      </c>
    </row>
    <row r="10" spans="1:11">
      <c r="A10" s="287" t="s">
        <v>436</v>
      </c>
      <c r="B10" s="492" t="s">
        <v>484</v>
      </c>
      <c r="C10" s="492" t="s">
        <v>484</v>
      </c>
      <c r="D10" s="292" t="s">
        <v>487</v>
      </c>
      <c r="E10" s="490" t="s">
        <v>119</v>
      </c>
      <c r="F10" s="490" t="s">
        <v>119</v>
      </c>
      <c r="G10" s="292" t="s">
        <v>515</v>
      </c>
      <c r="H10" s="490" t="s">
        <v>545</v>
      </c>
      <c r="I10" s="490" t="s">
        <v>545</v>
      </c>
      <c r="J10" s="292" t="s">
        <v>564</v>
      </c>
      <c r="K10" s="314" t="s">
        <v>571</v>
      </c>
    </row>
    <row r="11" spans="1:11">
      <c r="A11" s="287" t="s">
        <v>437</v>
      </c>
      <c r="B11" s="492" t="s">
        <v>483</v>
      </c>
      <c r="C11" s="492" t="s">
        <v>483</v>
      </c>
      <c r="D11" s="292" t="s">
        <v>488</v>
      </c>
      <c r="E11" s="490" t="s">
        <v>502</v>
      </c>
      <c r="F11" s="490" t="s">
        <v>502</v>
      </c>
      <c r="G11" s="292" t="s">
        <v>516</v>
      </c>
      <c r="H11" s="490" t="s">
        <v>607</v>
      </c>
      <c r="I11" s="490"/>
      <c r="J11" s="292" t="s">
        <v>565</v>
      </c>
      <c r="K11" s="314" t="s">
        <v>573</v>
      </c>
    </row>
    <row r="12" spans="1:11">
      <c r="A12" s="287" t="s">
        <v>438</v>
      </c>
      <c r="B12" s="492" t="s">
        <v>482</v>
      </c>
      <c r="C12" s="492" t="s">
        <v>482</v>
      </c>
      <c r="D12" s="292" t="s">
        <v>489</v>
      </c>
      <c r="E12" s="490" t="s">
        <v>503</v>
      </c>
      <c r="F12" s="490" t="s">
        <v>503</v>
      </c>
      <c r="G12" s="292" t="s">
        <v>517</v>
      </c>
      <c r="H12" s="490" t="s">
        <v>310</v>
      </c>
      <c r="I12" s="490" t="s">
        <v>310</v>
      </c>
      <c r="J12" s="292" t="s">
        <v>566</v>
      </c>
      <c r="K12" s="314" t="s">
        <v>227</v>
      </c>
    </row>
    <row r="13" spans="1:11">
      <c r="A13" s="287" t="s">
        <v>439</v>
      </c>
      <c r="B13" s="492" t="s">
        <v>481</v>
      </c>
      <c r="C13" s="492" t="s">
        <v>481</v>
      </c>
      <c r="D13" s="292" t="s">
        <v>490</v>
      </c>
      <c r="E13" s="490" t="s">
        <v>502</v>
      </c>
      <c r="F13" s="490" t="s">
        <v>502</v>
      </c>
      <c r="G13" s="292" t="s">
        <v>518</v>
      </c>
      <c r="H13" s="490" t="s">
        <v>546</v>
      </c>
      <c r="I13" s="490" t="s">
        <v>546</v>
      </c>
      <c r="J13" s="292" t="s">
        <v>567</v>
      </c>
      <c r="K13" s="314" t="s">
        <v>230</v>
      </c>
    </row>
    <row r="14" spans="1:11">
      <c r="A14" s="287" t="s">
        <v>440</v>
      </c>
      <c r="B14" s="492" t="s">
        <v>480</v>
      </c>
      <c r="C14" s="492" t="s">
        <v>480</v>
      </c>
      <c r="D14" s="292" t="s">
        <v>491</v>
      </c>
      <c r="E14" s="490" t="s">
        <v>504</v>
      </c>
      <c r="F14" s="490" t="s">
        <v>504</v>
      </c>
      <c r="G14" s="292" t="s">
        <v>519</v>
      </c>
      <c r="H14" s="490" t="s">
        <v>315</v>
      </c>
      <c r="I14" s="490" t="s">
        <v>315</v>
      </c>
      <c r="J14" s="292" t="s">
        <v>568</v>
      </c>
      <c r="K14" s="314" t="s">
        <v>574</v>
      </c>
    </row>
    <row r="15" spans="1:11">
      <c r="A15" s="287" t="s">
        <v>441</v>
      </c>
      <c r="B15" s="492" t="s">
        <v>479</v>
      </c>
      <c r="C15" s="492" t="s">
        <v>479</v>
      </c>
      <c r="D15" s="292" t="s">
        <v>492</v>
      </c>
      <c r="E15" s="490" t="s">
        <v>505</v>
      </c>
      <c r="F15" s="490" t="s">
        <v>505</v>
      </c>
      <c r="G15" s="292" t="s">
        <v>520</v>
      </c>
      <c r="H15" s="490" t="s">
        <v>547</v>
      </c>
      <c r="I15" s="490" t="s">
        <v>547</v>
      </c>
      <c r="J15" s="292" t="s">
        <v>569</v>
      </c>
      <c r="K15" s="314" t="s">
        <v>575</v>
      </c>
    </row>
    <row r="16" spans="1:11">
      <c r="A16" s="287" t="s">
        <v>442</v>
      </c>
      <c r="B16" s="492" t="s">
        <v>478</v>
      </c>
      <c r="C16" s="492" t="s">
        <v>478</v>
      </c>
      <c r="D16" s="292" t="s">
        <v>493</v>
      </c>
      <c r="E16" s="490" t="s">
        <v>506</v>
      </c>
      <c r="F16" s="490" t="s">
        <v>506</v>
      </c>
      <c r="G16" s="292" t="s">
        <v>521</v>
      </c>
      <c r="H16" s="490" t="s">
        <v>409</v>
      </c>
      <c r="I16" s="490" t="s">
        <v>409</v>
      </c>
      <c r="J16" s="292" t="s">
        <v>570</v>
      </c>
      <c r="K16" s="314" t="s">
        <v>576</v>
      </c>
    </row>
    <row r="17" spans="1:11">
      <c r="A17" s="287" t="s">
        <v>443</v>
      </c>
      <c r="B17" s="492" t="s">
        <v>477</v>
      </c>
      <c r="C17" s="492" t="s">
        <v>477</v>
      </c>
      <c r="D17" s="292" t="s">
        <v>494</v>
      </c>
      <c r="E17" s="490" t="s">
        <v>507</v>
      </c>
      <c r="F17" s="490" t="s">
        <v>507</v>
      </c>
      <c r="G17" s="292" t="s">
        <v>522</v>
      </c>
      <c r="H17" s="490" t="s">
        <v>548</v>
      </c>
      <c r="I17" s="490" t="s">
        <v>548</v>
      </c>
      <c r="J17" s="292"/>
      <c r="K17" s="294"/>
    </row>
    <row r="18" spans="1:11">
      <c r="A18" s="287" t="s">
        <v>485</v>
      </c>
      <c r="B18" s="492" t="s">
        <v>476</v>
      </c>
      <c r="C18" s="492" t="s">
        <v>476</v>
      </c>
      <c r="D18" s="292" t="s">
        <v>495</v>
      </c>
      <c r="E18" s="490" t="s">
        <v>508</v>
      </c>
      <c r="F18" s="490" t="s">
        <v>508</v>
      </c>
      <c r="G18" s="292" t="s">
        <v>523</v>
      </c>
      <c r="H18" s="490" t="s">
        <v>406</v>
      </c>
      <c r="I18" s="490" t="s">
        <v>406</v>
      </c>
      <c r="J18" s="292" t="s">
        <v>577</v>
      </c>
      <c r="K18" s="314" t="s">
        <v>579</v>
      </c>
    </row>
    <row r="19" spans="1:11">
      <c r="A19" s="287" t="s">
        <v>444</v>
      </c>
      <c r="B19" s="492" t="s">
        <v>475</v>
      </c>
      <c r="C19" s="492" t="s">
        <v>475</v>
      </c>
      <c r="D19" s="292" t="s">
        <v>496</v>
      </c>
      <c r="E19" s="490" t="s">
        <v>509</v>
      </c>
      <c r="F19" s="490" t="s">
        <v>509</v>
      </c>
      <c r="G19" s="292" t="s">
        <v>524</v>
      </c>
      <c r="H19" s="490" t="s">
        <v>549</v>
      </c>
      <c r="I19" s="490" t="s">
        <v>549</v>
      </c>
      <c r="J19" s="292"/>
      <c r="K19" s="294"/>
    </row>
    <row r="20" spans="1:11">
      <c r="A20" s="287" t="s">
        <v>445</v>
      </c>
      <c r="B20" s="492" t="s">
        <v>474</v>
      </c>
      <c r="C20" s="492" t="s">
        <v>474</v>
      </c>
      <c r="D20" s="292" t="s">
        <v>497</v>
      </c>
      <c r="E20" s="490" t="s">
        <v>248</v>
      </c>
      <c r="F20" s="490" t="s">
        <v>248</v>
      </c>
      <c r="G20" s="292" t="s">
        <v>525</v>
      </c>
      <c r="H20" s="490" t="s">
        <v>317</v>
      </c>
      <c r="I20" s="490" t="s">
        <v>317</v>
      </c>
      <c r="J20" s="292" t="s">
        <v>578</v>
      </c>
      <c r="K20" s="314" t="s">
        <v>580</v>
      </c>
    </row>
    <row r="21" spans="1:11">
      <c r="A21" s="287" t="s">
        <v>446</v>
      </c>
      <c r="B21" s="492" t="s">
        <v>473</v>
      </c>
      <c r="C21" s="492" t="s">
        <v>473</v>
      </c>
      <c r="D21" s="292" t="s">
        <v>498</v>
      </c>
      <c r="E21" s="490" t="s">
        <v>253</v>
      </c>
      <c r="F21" s="490" t="s">
        <v>253</v>
      </c>
      <c r="G21" s="292" t="s">
        <v>526</v>
      </c>
      <c r="H21" s="490" t="s">
        <v>550</v>
      </c>
      <c r="I21" s="490" t="s">
        <v>550</v>
      </c>
      <c r="J21" s="265"/>
      <c r="K21" s="294"/>
    </row>
    <row r="22" spans="1:11">
      <c r="A22" s="287" t="s">
        <v>447</v>
      </c>
      <c r="B22" s="492" t="s">
        <v>472</v>
      </c>
      <c r="C22" s="492" t="s">
        <v>472</v>
      </c>
      <c r="D22" s="292" t="s">
        <v>499</v>
      </c>
      <c r="E22" s="490" t="s">
        <v>510</v>
      </c>
      <c r="F22" s="490" t="s">
        <v>510</v>
      </c>
      <c r="G22" s="292" t="s">
        <v>527</v>
      </c>
      <c r="H22" s="490" t="s">
        <v>191</v>
      </c>
      <c r="I22" s="490" t="s">
        <v>191</v>
      </c>
      <c r="J22" s="265"/>
      <c r="K22" s="294"/>
    </row>
    <row r="23" spans="1:11">
      <c r="A23" s="287" t="s">
        <v>448</v>
      </c>
      <c r="B23" s="492" t="s">
        <v>471</v>
      </c>
      <c r="C23" s="492" t="s">
        <v>471</v>
      </c>
      <c r="D23" s="292" t="s">
        <v>500</v>
      </c>
      <c r="E23" s="490" t="s">
        <v>511</v>
      </c>
      <c r="F23" s="490" t="s">
        <v>511</v>
      </c>
      <c r="G23" s="292" t="s">
        <v>528</v>
      </c>
      <c r="H23" s="490" t="s">
        <v>551</v>
      </c>
      <c r="I23" s="490" t="s">
        <v>551</v>
      </c>
      <c r="J23" s="265"/>
      <c r="K23" s="294"/>
    </row>
    <row r="24" spans="1:11">
      <c r="A24" s="287" t="s">
        <v>449</v>
      </c>
      <c r="B24" s="492" t="s">
        <v>470</v>
      </c>
      <c r="C24" s="492" t="s">
        <v>470</v>
      </c>
      <c r="D24" s="292" t="s">
        <v>582</v>
      </c>
      <c r="E24" s="490" t="s">
        <v>512</v>
      </c>
      <c r="F24" s="490" t="s">
        <v>512</v>
      </c>
      <c r="G24" s="292" t="s">
        <v>529</v>
      </c>
      <c r="H24" s="490" t="s">
        <v>407</v>
      </c>
      <c r="I24" s="490" t="s">
        <v>407</v>
      </c>
      <c r="J24" s="265"/>
      <c r="K24" s="294"/>
    </row>
    <row r="25" spans="1:11">
      <c r="A25" s="287" t="s">
        <v>450</v>
      </c>
      <c r="B25" s="492" t="s">
        <v>469</v>
      </c>
      <c r="C25" s="492" t="s">
        <v>469</v>
      </c>
      <c r="D25" s="265"/>
      <c r="E25" s="265"/>
      <c r="F25" s="265"/>
      <c r="G25" s="292" t="s">
        <v>530</v>
      </c>
      <c r="H25" s="490" t="s">
        <v>416</v>
      </c>
      <c r="I25" s="490" t="s">
        <v>416</v>
      </c>
      <c r="J25" s="265"/>
      <c r="K25" s="294"/>
    </row>
    <row r="26" spans="1:11">
      <c r="A26" s="287" t="s">
        <v>451</v>
      </c>
      <c r="B26" s="492" t="s">
        <v>468</v>
      </c>
      <c r="C26" s="492" t="s">
        <v>468</v>
      </c>
      <c r="D26" s="265"/>
      <c r="E26" s="265"/>
      <c r="F26" s="265"/>
      <c r="G26" s="292" t="s">
        <v>531</v>
      </c>
      <c r="H26" s="490" t="s">
        <v>552</v>
      </c>
      <c r="I26" s="490" t="s">
        <v>552</v>
      </c>
      <c r="J26" s="265"/>
      <c r="K26" s="294"/>
    </row>
    <row r="27" spans="1:11">
      <c r="A27" s="287" t="s">
        <v>452</v>
      </c>
      <c r="B27" s="492" t="s">
        <v>467</v>
      </c>
      <c r="C27" s="492" t="s">
        <v>467</v>
      </c>
      <c r="D27" s="265"/>
      <c r="E27" s="265"/>
      <c r="F27" s="265"/>
      <c r="G27" s="292" t="s">
        <v>532</v>
      </c>
      <c r="H27" s="490" t="s">
        <v>405</v>
      </c>
      <c r="I27" s="490" t="s">
        <v>405</v>
      </c>
      <c r="J27" s="265"/>
      <c r="K27" s="294"/>
    </row>
    <row r="28" spans="1:11">
      <c r="A28" s="287" t="s">
        <v>453</v>
      </c>
      <c r="B28" s="492" t="s">
        <v>466</v>
      </c>
      <c r="C28" s="492" t="s">
        <v>466</v>
      </c>
      <c r="D28" s="265"/>
      <c r="E28" s="265"/>
      <c r="F28" s="265"/>
      <c r="G28" s="292" t="s">
        <v>533</v>
      </c>
      <c r="H28" s="490" t="s">
        <v>553</v>
      </c>
      <c r="I28" s="490" t="s">
        <v>553</v>
      </c>
      <c r="J28" s="265"/>
      <c r="K28" s="294"/>
    </row>
    <row r="29" spans="1:11">
      <c r="A29" s="287" t="s">
        <v>454</v>
      </c>
      <c r="B29" s="492" t="s">
        <v>465</v>
      </c>
      <c r="C29" s="492" t="s">
        <v>465</v>
      </c>
      <c r="D29" s="265"/>
      <c r="E29" s="265"/>
      <c r="F29" s="265"/>
      <c r="G29" s="292" t="s">
        <v>534</v>
      </c>
      <c r="H29" s="490" t="s">
        <v>304</v>
      </c>
      <c r="I29" s="490" t="s">
        <v>304</v>
      </c>
      <c r="J29" s="265"/>
      <c r="K29" s="294"/>
    </row>
    <row r="30" spans="1:11">
      <c r="A30" s="287" t="s">
        <v>455</v>
      </c>
      <c r="B30" s="492" t="s">
        <v>464</v>
      </c>
      <c r="C30" s="492" t="s">
        <v>464</v>
      </c>
      <c r="D30" s="265"/>
      <c r="E30" s="265"/>
      <c r="F30" s="265"/>
      <c r="G30" s="292" t="s">
        <v>535</v>
      </c>
      <c r="H30" s="490" t="s">
        <v>554</v>
      </c>
      <c r="I30" s="490" t="s">
        <v>554</v>
      </c>
      <c r="J30" s="265"/>
      <c r="K30" s="294"/>
    </row>
    <row r="31" spans="1:11">
      <c r="A31" s="287" t="s">
        <v>456</v>
      </c>
      <c r="B31" s="492" t="s">
        <v>463</v>
      </c>
      <c r="C31" s="492" t="s">
        <v>463</v>
      </c>
      <c r="D31" s="265"/>
      <c r="E31" s="265"/>
      <c r="F31" s="265"/>
      <c r="G31" s="292" t="s">
        <v>536</v>
      </c>
      <c r="H31" s="490" t="s">
        <v>193</v>
      </c>
      <c r="I31" s="490" t="s">
        <v>193</v>
      </c>
      <c r="J31" s="265"/>
      <c r="K31" s="294"/>
    </row>
    <row r="32" spans="1:11">
      <c r="A32" s="287" t="s">
        <v>457</v>
      </c>
      <c r="B32" s="492" t="s">
        <v>462</v>
      </c>
      <c r="C32" s="492" t="s">
        <v>462</v>
      </c>
      <c r="D32" s="265"/>
      <c r="E32" s="265"/>
      <c r="F32" s="265"/>
      <c r="G32" s="292" t="s">
        <v>537</v>
      </c>
      <c r="H32" s="490" t="s">
        <v>194</v>
      </c>
      <c r="I32" s="490" t="s">
        <v>194</v>
      </c>
      <c r="J32" s="265"/>
      <c r="K32" s="294"/>
    </row>
    <row r="33" spans="1:11">
      <c r="A33" s="287" t="s">
        <v>458</v>
      </c>
      <c r="B33" s="492" t="s">
        <v>461</v>
      </c>
      <c r="C33" s="492" t="s">
        <v>461</v>
      </c>
      <c r="D33" s="265"/>
      <c r="E33" s="265"/>
      <c r="F33" s="265"/>
      <c r="G33" s="292" t="s">
        <v>538</v>
      </c>
      <c r="H33" s="490" t="s">
        <v>250</v>
      </c>
      <c r="I33" s="490" t="s">
        <v>250</v>
      </c>
      <c r="J33" s="265"/>
      <c r="K33" s="294"/>
    </row>
    <row r="34" spans="1:11">
      <c r="A34" s="287" t="s">
        <v>459</v>
      </c>
      <c r="B34" s="492" t="s">
        <v>460</v>
      </c>
      <c r="C34" s="492" t="s">
        <v>460</v>
      </c>
      <c r="D34" s="265"/>
      <c r="E34" s="265"/>
      <c r="F34" s="265"/>
      <c r="G34" s="292" t="s">
        <v>539</v>
      </c>
      <c r="H34" s="490" t="s">
        <v>555</v>
      </c>
      <c r="I34" s="490" t="s">
        <v>555</v>
      </c>
      <c r="J34" s="265"/>
      <c r="K34" s="294"/>
    </row>
    <row r="35" spans="1:11">
      <c r="A35" s="287"/>
      <c r="B35" s="493"/>
      <c r="C35" s="493"/>
      <c r="D35" s="265"/>
      <c r="E35" s="265"/>
      <c r="F35" s="265"/>
      <c r="G35" s="292" t="s">
        <v>540</v>
      </c>
      <c r="H35" s="490" t="s">
        <v>556</v>
      </c>
      <c r="I35" s="490" t="s">
        <v>556</v>
      </c>
      <c r="J35" s="265"/>
      <c r="K35" s="294"/>
    </row>
    <row r="36" spans="1:11">
      <c r="A36" s="287"/>
      <c r="B36" s="265"/>
      <c r="C36" s="265"/>
      <c r="D36" s="265"/>
      <c r="E36" s="265"/>
      <c r="F36" s="265"/>
      <c r="G36" s="292" t="s">
        <v>541</v>
      </c>
      <c r="H36" s="490" t="s">
        <v>557</v>
      </c>
      <c r="I36" s="490" t="s">
        <v>557</v>
      </c>
      <c r="J36" s="265"/>
      <c r="K36" s="294"/>
    </row>
    <row r="37" spans="1:11">
      <c r="A37" s="287"/>
      <c r="B37" s="265"/>
      <c r="C37" s="265"/>
      <c r="D37" s="265"/>
      <c r="E37" s="265"/>
      <c r="F37" s="265"/>
      <c r="G37" s="292" t="s">
        <v>542</v>
      </c>
      <c r="H37" s="490" t="s">
        <v>558</v>
      </c>
      <c r="I37" s="490" t="s">
        <v>558</v>
      </c>
      <c r="J37" s="265"/>
      <c r="K37" s="294"/>
    </row>
    <row r="38" spans="1:11">
      <c r="A38" s="287"/>
      <c r="B38" s="265"/>
      <c r="C38" s="265"/>
      <c r="D38" s="265"/>
      <c r="E38" s="265"/>
      <c r="F38" s="265"/>
      <c r="G38" s="292" t="s">
        <v>543</v>
      </c>
      <c r="H38" s="490" t="s">
        <v>318</v>
      </c>
      <c r="I38" s="490" t="s">
        <v>318</v>
      </c>
      <c r="J38" s="265"/>
      <c r="K38" s="294"/>
    </row>
    <row r="39" spans="1:11">
      <c r="A39" s="287"/>
      <c r="B39" s="265"/>
      <c r="C39" s="265"/>
      <c r="D39" s="265"/>
      <c r="E39" s="265"/>
      <c r="F39" s="265"/>
      <c r="G39" s="292" t="s">
        <v>544</v>
      </c>
      <c r="H39" s="490" t="s">
        <v>559</v>
      </c>
      <c r="I39" s="490" t="s">
        <v>559</v>
      </c>
      <c r="J39" s="265"/>
      <c r="K39" s="294"/>
    </row>
    <row r="40" spans="1:11">
      <c r="A40" s="287"/>
      <c r="B40" s="265"/>
      <c r="C40" s="265"/>
      <c r="D40" s="265"/>
      <c r="E40" s="265"/>
      <c r="F40" s="265"/>
      <c r="G40" s="292" t="s">
        <v>635</v>
      </c>
      <c r="H40" s="490" t="s">
        <v>560</v>
      </c>
      <c r="I40" s="490" t="s">
        <v>560</v>
      </c>
      <c r="J40" s="265"/>
      <c r="K40" s="294"/>
    </row>
    <row r="41" spans="1:11">
      <c r="A41" s="287"/>
      <c r="B41" s="265"/>
      <c r="C41" s="265"/>
      <c r="D41" s="265"/>
      <c r="E41" s="265"/>
      <c r="F41" s="265"/>
      <c r="G41" s="292" t="s">
        <v>636</v>
      </c>
      <c r="H41" s="490" t="s">
        <v>561</v>
      </c>
      <c r="I41" s="490" t="s">
        <v>561</v>
      </c>
      <c r="J41" s="265"/>
      <c r="K41" s="294"/>
    </row>
    <row r="42" spans="1:11">
      <c r="A42" s="287"/>
      <c r="B42" s="261"/>
      <c r="C42" s="261"/>
      <c r="D42" s="261"/>
      <c r="E42" s="265"/>
      <c r="F42" s="265"/>
      <c r="G42" s="313" t="s">
        <v>637</v>
      </c>
      <c r="H42" s="490" t="s">
        <v>562</v>
      </c>
      <c r="I42" s="490" t="s">
        <v>562</v>
      </c>
      <c r="J42" s="261"/>
      <c r="K42" s="288"/>
    </row>
    <row r="43" spans="1:11">
      <c r="A43" s="287"/>
      <c r="B43" s="261"/>
      <c r="C43" s="261"/>
      <c r="D43" s="261"/>
      <c r="E43" s="265"/>
      <c r="F43" s="265"/>
      <c r="G43" s="261"/>
      <c r="H43" s="261"/>
      <c r="I43" s="261"/>
      <c r="J43" s="261"/>
      <c r="K43" s="288"/>
    </row>
    <row r="44" spans="1:11" ht="15.75" thickBot="1">
      <c r="A44" s="289"/>
      <c r="B44" s="290"/>
      <c r="C44" s="290"/>
      <c r="D44" s="290"/>
      <c r="E44" s="290"/>
      <c r="F44" s="290"/>
      <c r="G44" s="290"/>
      <c r="H44" s="290"/>
      <c r="I44" s="290"/>
      <c r="J44" s="290"/>
      <c r="K44" s="291"/>
    </row>
    <row r="45" spans="1:11" s="4" customFormat="1" thickTop="1"/>
    <row r="46" spans="1:11">
      <c r="H46" s="4"/>
      <c r="I46" s="4"/>
    </row>
    <row r="50" spans="2:3">
      <c r="B50" s="491"/>
      <c r="C50" s="491"/>
    </row>
    <row r="84" spans="2:3">
      <c r="B84" s="491"/>
      <c r="C84" s="491"/>
    </row>
    <row r="97" spans="2:2" ht="15.75">
      <c r="B97" s="86"/>
    </row>
  </sheetData>
  <mergeCells count="87">
    <mergeCell ref="H11:I11"/>
    <mergeCell ref="B9:C9"/>
    <mergeCell ref="B10:C10"/>
    <mergeCell ref="B11:C11"/>
    <mergeCell ref="B18:C18"/>
    <mergeCell ref="E10:F10"/>
    <mergeCell ref="E11:F11"/>
    <mergeCell ref="E12:F12"/>
    <mergeCell ref="E13:F13"/>
    <mergeCell ref="E14:F14"/>
    <mergeCell ref="H17:I17"/>
    <mergeCell ref="H18:I18"/>
    <mergeCell ref="H9:I9"/>
    <mergeCell ref="H10:I10"/>
    <mergeCell ref="H12:I12"/>
    <mergeCell ref="H13:I13"/>
    <mergeCell ref="B19:C19"/>
    <mergeCell ref="B20:C20"/>
    <mergeCell ref="B21:C21"/>
    <mergeCell ref="B12:C12"/>
    <mergeCell ref="B13:C13"/>
    <mergeCell ref="B14:C14"/>
    <mergeCell ref="B15:C15"/>
    <mergeCell ref="B16:C16"/>
    <mergeCell ref="B32:C32"/>
    <mergeCell ref="B33:C33"/>
    <mergeCell ref="B34:C34"/>
    <mergeCell ref="B35:C35"/>
    <mergeCell ref="E9:F9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E24:F24"/>
    <mergeCell ref="E15:F15"/>
    <mergeCell ref="E16:F16"/>
    <mergeCell ref="E17:F17"/>
    <mergeCell ref="E18:F18"/>
    <mergeCell ref="E19:F19"/>
    <mergeCell ref="H20:I20"/>
    <mergeCell ref="H21:I21"/>
    <mergeCell ref="E21:F21"/>
    <mergeCell ref="E22:F22"/>
    <mergeCell ref="E23:F23"/>
    <mergeCell ref="E20:F20"/>
    <mergeCell ref="H42:I42"/>
    <mergeCell ref="B84:C84"/>
    <mergeCell ref="H34:I34"/>
    <mergeCell ref="H35:I35"/>
    <mergeCell ref="H36:I36"/>
    <mergeCell ref="H37:I37"/>
    <mergeCell ref="H38:I38"/>
    <mergeCell ref="B50:C50"/>
    <mergeCell ref="H41:I41"/>
    <mergeCell ref="H29:I29"/>
    <mergeCell ref="H30:I30"/>
    <mergeCell ref="H31:I31"/>
    <mergeCell ref="H32:I32"/>
    <mergeCell ref="H33:I33"/>
    <mergeCell ref="C2:K2"/>
    <mergeCell ref="A1:K1"/>
    <mergeCell ref="C7:K7"/>
    <mergeCell ref="H39:I39"/>
    <mergeCell ref="H40:I40"/>
    <mergeCell ref="H24:I24"/>
    <mergeCell ref="H25:I25"/>
    <mergeCell ref="H26:I26"/>
    <mergeCell ref="H27:I27"/>
    <mergeCell ref="H28:I28"/>
    <mergeCell ref="H19:I19"/>
    <mergeCell ref="H22:I22"/>
    <mergeCell ref="H23:I23"/>
    <mergeCell ref="H14:I14"/>
    <mergeCell ref="H15:I15"/>
    <mergeCell ref="H16:I16"/>
    <mergeCell ref="A8:K8"/>
    <mergeCell ref="C3:K3"/>
    <mergeCell ref="C4:K4"/>
    <mergeCell ref="C5:K5"/>
    <mergeCell ref="C6:K6"/>
  </mergeCells>
  <hyperlinks>
    <hyperlink ref="B9:C9" location="Plano_Estatístico_2018_HJB!A6" display="Estatística de Pacientes Internados" xr:uid="{00000000-0004-0000-0100-000000000000}"/>
    <hyperlink ref="B10:C10" location="Plano_Estatístico_2018_HJB!A8" display="Nº de Leitos por Unidade" xr:uid="{00000000-0004-0000-0100-000001000000}"/>
    <hyperlink ref="B11:C11" location="Plano_Estatístico_2018_HJB!A14" display="Nº de Leitos-Dia por Unidade" xr:uid="{00000000-0004-0000-0100-000002000000}"/>
    <hyperlink ref="B12:C12" location="Plano_Estatístico_2018_HJB!A20" display="Nº de Pacientes-Dia por Especialidade" xr:uid="{00000000-0004-0000-0100-000003000000}"/>
    <hyperlink ref="B13:C13" location="Plano_Estatístico_2018_HJB!A41" display="Nº de Pacientes-Dia por Unidade" xr:uid="{00000000-0004-0000-0100-000004000000}"/>
    <hyperlink ref="B14:C14" location="Plano_Estatístico_2018_HJB!A47" display="Média Diária de Pacientes por Unidade" xr:uid="{00000000-0004-0000-0100-000005000000}"/>
    <hyperlink ref="B15:C15" location="Plano_Estatístico_2018_HJB!A53" display="Internações por Especialidade" xr:uid="{00000000-0004-0000-0100-000006000000}"/>
    <hyperlink ref="B16:C16" location="Plano_Estatístico_2018_HJB!A74" display="Internações por Unidade" xr:uid="{00000000-0004-0000-0100-000007000000}"/>
    <hyperlink ref="B17:C17" location="Plano_Estatístico_2018_HJB!A80" display="Internações por Município" xr:uid="{00000000-0004-0000-0100-000008000000}"/>
    <hyperlink ref="B18:C18" location="Plano_Estatístico_2018_HJB!A200" display=" Internações por Faixa etária" xr:uid="{00000000-0004-0000-0100-000009000000}"/>
    <hyperlink ref="B19:C19" location="Plano_Estatístico_2018_HJB!A211" display="Altas Melhoradas Por Especialidade" xr:uid="{00000000-0004-0000-0100-00000A000000}"/>
    <hyperlink ref="B20:C20" location="Plano_Estatístico_2018_HJB!A233" display="Altas por Unidade (sem transferências)" xr:uid="{00000000-0004-0000-0100-00000B000000}"/>
    <hyperlink ref="B21:C21" location="Plano_Estatístico_2018_HJB!A239" display="Óbitos por Especialidade" xr:uid="{00000000-0004-0000-0100-00000C000000}"/>
    <hyperlink ref="B22:C22" location="Plano_Estatístico_2018_HJB!A259" display="Óbitos por Unidade" xr:uid="{00000000-0004-0000-0100-00000D000000}"/>
    <hyperlink ref="B23:C23" location="Plano_Estatístico_2018_HJB!A265" display="Óbitos Não Institucionais p/ Especialidade (-48h)" xr:uid="{00000000-0004-0000-0100-00000E000000}"/>
    <hyperlink ref="B24:C24" location="Plano_Estatístico_2018_HJB!A285" display="Óbitos Institucionais p/ Especialidade  (+48h)" xr:uid="{00000000-0004-0000-0100-00000F000000}"/>
    <hyperlink ref="B25:C25" location="Plano_Estatístico_2018_HJB!A305" display="Óbitos por Faixa Etária" xr:uid="{00000000-0004-0000-0100-000010000000}"/>
    <hyperlink ref="B26:C26" location="Plano_Estatístico_2018_HJB!A315" display="Transferência Interna por Unidade (Entrada)" xr:uid="{00000000-0004-0000-0100-000011000000}"/>
    <hyperlink ref="B27:C27" location="Plano_Estatístico_2018_HJB!A321" display="Transferência Interna por Unidade (Saída)" xr:uid="{00000000-0004-0000-0100-000012000000}"/>
    <hyperlink ref="B28:C28" location="Plano_Estatístico_2018_HJB!A327" display="Pacientes Saídos p/ Especialidade" xr:uid="{00000000-0004-0000-0100-000013000000}"/>
    <hyperlink ref="B29:C29" location="Plano_Estatístico_2018_HJB!A348" display="Pacientes Saídos por Unidade" xr:uid="{00000000-0004-0000-0100-000014000000}"/>
    <hyperlink ref="B30:C30" location="Plano_Estatístico_2018_HJB!A354" display="Porcentagem de Ocupação por Unidade" xr:uid="{00000000-0004-0000-0100-000015000000}"/>
    <hyperlink ref="B31:C31" location="Plano_Estatístico_2018_HJB!A362" display="Média de Permanência por Unidade" xr:uid="{00000000-0004-0000-0100-000016000000}"/>
    <hyperlink ref="B32:C32" location="Plano_Estatístico_2018_HJB!A370" display="Índice de Giro de Leitos p/ Unidade" xr:uid="{00000000-0004-0000-0100-000017000000}"/>
    <hyperlink ref="B33:C33" location="Plano_Estatístico_2018_HJB!A376" display="Taxa de Mortalidade por Unidade" xr:uid="{00000000-0004-0000-0100-000018000000}"/>
    <hyperlink ref="B34:C34" location="Plano_Estatístico_2018_HJB!A382" display="Taxa de Mortalidade por Tipo" xr:uid="{00000000-0004-0000-0100-000019000000}"/>
    <hyperlink ref="E9:F9" location="Plano_Estatístico_2018_HJB!A389" display="Serviços Assistenciais" xr:uid="{00000000-0004-0000-0100-00001A000000}"/>
    <hyperlink ref="E10:F10" location="Plano_Estatístico_2018_HJB!A392" display="Centro Cirúrgico" xr:uid="{00000000-0004-0000-0100-00001B000000}"/>
    <hyperlink ref="E11:F11" location="'Sumário Provisório'!A424" display="Anestesia" xr:uid="{00000000-0004-0000-0100-00001C000000}"/>
    <hyperlink ref="E12:F12" location="Plano_Estatístico_2018_HJB!A444" display="Centro Cirúrgico - Procedimento Endoscópico" xr:uid="{00000000-0004-0000-0100-00001D000000}"/>
    <hyperlink ref="E13:F13" location="Plano_Estatístico_2018_HJB!A470" display="Anestesia" xr:uid="{00000000-0004-0000-0100-00001E000000}"/>
    <hyperlink ref="E14:F14" location="Plano_Estatístico_2018_HJB!A491" display="Central de Material Esterilizado" xr:uid="{00000000-0004-0000-0100-00001F000000}"/>
    <hyperlink ref="E15:F15" location="Plano_Estatístico_2018_HJB!A510" display="Ambulatório de Referência e Pronto Atendimento" xr:uid="{00000000-0004-0000-0100-000020000000}"/>
    <hyperlink ref="E16:F16" location="Plano_Estatístico_2018_HJB!A517" display="Atendimento por Especialidades – Ambulatório - Consultas Médicas" xr:uid="{00000000-0004-0000-0100-000021000000}"/>
    <hyperlink ref="E17:F17" location="Plano_Estatístico_2018_HJB!A539" display="Atendimento por Especialidades – Ambulatório - Consultas Não Médicas" xr:uid="{00000000-0004-0000-0100-000022000000}"/>
    <hyperlink ref="E18:F18" location="Plano_Estatístico_2018_HJB!A546" display="Procedimentos Realizados no ambulatório" xr:uid="{00000000-0004-0000-0100-000023000000}"/>
    <hyperlink ref="E19:F19" location="Plano_Estatístico_2018_HJB!A551" display="Atividades Sociais" xr:uid="{00000000-0004-0000-0100-000024000000}"/>
    <hyperlink ref="E20:F20" location="Plano_Estatístico_2018_HJB!A552" display="S.A.U" xr:uid="{00000000-0004-0000-0100-000025000000}"/>
    <hyperlink ref="E21:F21" location="Plano_Estatístico_2018_HJB!A560" display="Serviço Social" xr:uid="{00000000-0004-0000-0100-000026000000}"/>
    <hyperlink ref="E22:F22" location="Plano_Estatístico_2018_HJB!A570" display="Serviço Nutricional" xr:uid="{00000000-0004-0000-0100-000027000000}"/>
    <hyperlink ref="E23:F23" location="Plano_Estatístico_2018_HJB!A576" display="Serviço Psicologia" xr:uid="{00000000-0004-0000-0100-000028000000}"/>
    <hyperlink ref="E24:F24" location="Plano_Estatístico_2018_HJB!A585" display="Educação Permanente" xr:uid="{00000000-0004-0000-0100-000029000000}"/>
    <hyperlink ref="H9:I9" location="Plano_Estatístico_2018_HJB!A597" display="Serviço de Apoio Diagnóstico Terapêutico" xr:uid="{00000000-0004-0000-0100-00002A000000}"/>
    <hyperlink ref="H10:I10" location="Plano_Estatístico_2018_HJB!A599" display="Anátomo Patológico" xr:uid="{00000000-0004-0000-0100-00002B000000}"/>
    <hyperlink ref="H11:I11" location="Plano_Estatístico_2018_HJB!A617" display="Bomba de Insulina" xr:uid="{00000000-0004-0000-0100-00002C000000}"/>
    <hyperlink ref="H12:I12" location="Plano_Estatístico_2018_HJB!A634" display="Broncoscopia" xr:uid="{00000000-0004-0000-0100-00002D000000}"/>
    <hyperlink ref="H13:I13" location="Plano_Estatístico_2018_HJB!A651" display="Densitometria Óssea" xr:uid="{00000000-0004-0000-0100-00002E000000}"/>
    <hyperlink ref="H14:I14" location="Plano_Estatístico_2018_HJB!A668" display="Ecocardiograma" xr:uid="{00000000-0004-0000-0100-00002F000000}"/>
    <hyperlink ref="H15:I15" location="Plano_Estatístico_2018_HJB!A685" display="ECG - Eletrocardiograma" xr:uid="{00000000-0004-0000-0100-000030000000}"/>
    <hyperlink ref="H16:I16" location="Plano_Estatístico_2018_HJB!A702" display="Endoscopia Digestiva Alta" xr:uid="{00000000-0004-0000-0100-000031000000}"/>
    <hyperlink ref="H17:I17" location="Plano_Estatístico_2018_HJB!A749" display="Endoscopia Digestiva Baixa - Colonoscopia" xr:uid="{00000000-0004-0000-0100-000032000000}"/>
    <hyperlink ref="H18:I18" location="Plano_Estatístico_2018_HJB!A794" display="Escleroterapia Ecoviada com Espuma" xr:uid="{00000000-0004-0000-0100-000033000000}"/>
    <hyperlink ref="H19:I19" location="Plano_Estatístico_2018_HJB!A811" display="Espirometria - Prova de Função Pulmonar" xr:uid="{00000000-0004-0000-0100-000034000000}"/>
    <hyperlink ref="H20:I20" location="Plano_Estatístico_2018_HJB!A828" display="Holter de Glicemia" xr:uid="{00000000-0004-0000-0100-000035000000}"/>
    <hyperlink ref="H21:I21" location="Plano_Estatístico_2018_HJB!A845" display="Laboratório de Análises Clínicas" xr:uid="{00000000-0004-0000-0100-000036000000}"/>
    <hyperlink ref="H22:I22" location="Plano_Estatístico_2018_HJB!A874" display="Mamografia" xr:uid="{00000000-0004-0000-0100-000037000000}"/>
    <hyperlink ref="H23:I23" location="Plano_Estatístico_2018_HJB!A891" display="MAPA - Monitorização Ambulatorial de Pressão Arterial" xr:uid="{00000000-0004-0000-0100-000038000000}"/>
    <hyperlink ref="H24:I24" location="Plano_Estatístico_2018_HJB!A908" display="Medicina Nuclear - Cintilografia" xr:uid="{00000000-0004-0000-0100-000039000000}"/>
    <hyperlink ref="H25:I25" location="Plano_Estatístico_2018_HJB!A925" display="Medicina Nuclear - Iodoterapia" xr:uid="{00000000-0004-0000-0100-00003A000000}"/>
    <hyperlink ref="H26:I26" location="Plano_Estatístico_2018_HJB!A942" display="PAAF - Biópsia de Tireóide" xr:uid="{00000000-0004-0000-0100-00003B000000}"/>
    <hyperlink ref="H27:I27" location="Plano_Estatístico_2018_HJB!A959" display="Polissonografia" xr:uid="{00000000-0004-0000-0100-00003C000000}"/>
    <hyperlink ref="H28:I28" location="Plano_Estatístico_2018_HJB!A976" display="Radiologia - Raio-X" xr:uid="{00000000-0004-0000-0100-00003D000000}"/>
    <hyperlink ref="H29:I29" location="Plano_Estatístico_2018_HJB!A1066" display="Ressonância Magnética" xr:uid="{00000000-0004-0000-0100-00003E000000}"/>
    <hyperlink ref="H30:I30" location="Plano_Estatístico_2018_HJB!A1083" display="Teste Ergométrico" xr:uid="{00000000-0004-0000-0100-00003F000000}"/>
    <hyperlink ref="H31:I31" location="Plano_Estatístico_2018_HJB!A1100" display="Tomografia" xr:uid="{00000000-0004-0000-0100-000040000000}"/>
    <hyperlink ref="H32:I32" location="Plano_Estatístico_2018_HJB!A1163" display="Ultrassonografia" xr:uid="{00000000-0004-0000-0100-000041000000}"/>
    <hyperlink ref="H33:I33" location="Plano_Estatístico_2018_HJB!A1240" display="Fisioterapia" xr:uid="{00000000-0004-0000-0100-000042000000}"/>
    <hyperlink ref="H34:I34" location="Plano_Estatístico_2018_HJB!A1248" display="Fonoaudiologia" xr:uid="{00000000-0004-0000-0100-000043000000}"/>
    <hyperlink ref="H35:I35" location="Plano_Estatístico_2018_HJB!A1265" display="Terapia Ocupacional" xr:uid="{00000000-0004-0000-0100-000044000000}"/>
    <hyperlink ref="H36:I36" location="Plano_Estatístico_2018_HJB!A1282" display="Hemoterapia - Agência Transfusional" xr:uid="{00000000-0004-0000-0100-000045000000}"/>
    <hyperlink ref="H37:I37" location="Plano_Estatístico_2018_HJB!A1294" display="Hemodiálise" xr:uid="{00000000-0004-0000-0100-000046000000}"/>
    <hyperlink ref="H38:I38" location="Plano_Estatístico_2018_HJB!A1303" display="Pulsoterapia" xr:uid="{00000000-0004-0000-0100-000047000000}"/>
    <hyperlink ref="H39:I39" location="Plano_Estatístico_2018_HJB!A1320" display="Total SADT Internos" xr:uid="{00000000-0004-0000-0100-000048000000}"/>
    <hyperlink ref="H40:I40" location="Plano_Estatístico_2018_HJB!A1349" display="Total SADT Externos" xr:uid="{00000000-0004-0000-0100-000049000000}"/>
    <hyperlink ref="H41:I41" location="Plano_Estatístico_2018_HJB!A1349" display="TOTAL GERAL  SADT" xr:uid="{00000000-0004-0000-0100-00004A000000}"/>
    <hyperlink ref="H42:I42" location="Plano_Estatístico_2018_HJB!A1382" display="Total Tratamentos Internos" xr:uid="{00000000-0004-0000-0100-00004B000000}"/>
    <hyperlink ref="K9" location="Plano_Estatístico_2018_HJB!A1392" display="Serviços de Apoio" xr:uid="{00000000-0004-0000-0100-00004C000000}"/>
    <hyperlink ref="K10" location="Plano_Estatístico_2018_HJB!A1394" display="Nutrição e Dietética" xr:uid="{00000000-0004-0000-0100-00004D000000}"/>
    <hyperlink ref="K11" location="'Sumário Provisório'!A1418" display="Processamento da Roupa" xr:uid="{00000000-0004-0000-0100-00004E000000}"/>
    <hyperlink ref="K12" location="Plano_Estatístico_2018_HJB!A1458" display="Manutenção" xr:uid="{00000000-0004-0000-0100-00004F000000}"/>
    <hyperlink ref="K13" location="Plano_Estatístico_2018_HJB!A1523" display="Telefonia" xr:uid="{00000000-0004-0000-0100-000050000000}"/>
    <hyperlink ref="K14" location="Plano_Estatístico_2018_HJB!A1531" display="Encadernação" xr:uid="{00000000-0004-0000-0100-000051000000}"/>
    <hyperlink ref="K15" location="Plano_Estatístico_2018_HJB!A1550" display="Plastificação" xr:uid="{00000000-0004-0000-0100-000052000000}"/>
    <hyperlink ref="K16" location="Plano_Estatístico_2018_HJB!A1567" display="Cópias" xr:uid="{00000000-0004-0000-0100-000053000000}"/>
    <hyperlink ref="K18" location="Plano_Estatístico_2018_HJB!A1601" display="Serviços Administrativos" xr:uid="{00000000-0004-0000-0100-000054000000}"/>
    <hyperlink ref="K20" location="Plano_Estatístico_2018_HJB!A1680" display="Resumo Geral de Informações" xr:uid="{00000000-0004-0000-0100-000055000000}"/>
  </hyperlinks>
  <pageMargins left="0.511811024" right="0.511811024" top="0.78740157499999996" bottom="0.78740157499999996" header="0.31496062000000002" footer="0.31496062000000002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ilha3">
    <tabColor theme="8"/>
    <pageSetUpPr fitToPage="1"/>
  </sheetPr>
  <dimension ref="A1:Z1909"/>
  <sheetViews>
    <sheetView tabSelected="1" view="pageBreakPreview" zoomScale="82" zoomScaleNormal="83" zoomScaleSheetLayoutView="82" zoomScalePageLayoutView="50" workbookViewId="0">
      <pane ySplit="5" topLeftCell="A1863" activePane="bottomLeft" state="frozen"/>
      <selection activeCell="A5" sqref="A5"/>
      <selection pane="bottomLeft" activeCell="M1380" sqref="M1380:M1382"/>
    </sheetView>
  </sheetViews>
  <sheetFormatPr defaultColWidth="15.125" defaultRowHeight="15"/>
  <cols>
    <col min="1" max="1" width="38" style="86" customWidth="1"/>
    <col min="2" max="3" width="11.5" style="110" customWidth="1"/>
    <col min="4" max="4" width="10.625" style="110" customWidth="1"/>
    <col min="5" max="5" width="11.375" style="110" customWidth="1"/>
    <col min="6" max="6" width="11.625" style="110" customWidth="1"/>
    <col min="7" max="7" width="11.75" style="110" customWidth="1"/>
    <col min="8" max="8" width="11.625" style="110" customWidth="1"/>
    <col min="9" max="9" width="11.125" style="110" customWidth="1"/>
    <col min="10" max="11" width="11" style="110" customWidth="1"/>
    <col min="12" max="12" width="11.5" style="110" customWidth="1"/>
    <col min="13" max="13" width="11.125" style="110" bestFit="1" customWidth="1"/>
    <col min="14" max="14" width="13" style="170" bestFit="1" customWidth="1"/>
    <col min="15" max="15" width="11.875" style="111" bestFit="1" customWidth="1"/>
    <col min="16" max="25" width="18.5" style="3" customWidth="1"/>
    <col min="26" max="26" width="8.625" style="3" customWidth="1"/>
    <col min="27" max="16384" width="15.125" style="3"/>
  </cols>
  <sheetData>
    <row r="1" spans="1:26" ht="14.25">
      <c r="A1" s="495" t="s">
        <v>408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>
      <c r="A2" s="495"/>
      <c r="B2" s="495"/>
      <c r="C2" s="495"/>
      <c r="D2" s="495"/>
      <c r="E2" s="495"/>
      <c r="F2" s="495"/>
      <c r="G2" s="495"/>
      <c r="H2" s="495"/>
      <c r="I2" s="495"/>
      <c r="J2" s="495"/>
      <c r="K2" s="495"/>
      <c r="L2" s="495"/>
      <c r="M2" s="495"/>
      <c r="N2" s="495"/>
      <c r="O2" s="495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>
      <c r="A3" s="495" t="s">
        <v>672</v>
      </c>
      <c r="B3" s="495"/>
      <c r="C3" s="495"/>
      <c r="D3" s="495"/>
      <c r="E3" s="495"/>
      <c r="F3" s="495"/>
      <c r="G3" s="495"/>
      <c r="H3" s="495"/>
      <c r="I3" s="495"/>
      <c r="J3" s="495"/>
      <c r="K3" s="495"/>
      <c r="L3" s="495"/>
      <c r="M3" s="495"/>
      <c r="N3" s="495"/>
      <c r="O3" s="495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>
      <c r="A4" s="496"/>
      <c r="B4" s="496"/>
      <c r="C4" s="496"/>
      <c r="D4" s="496"/>
      <c r="E4" s="496"/>
      <c r="F4" s="496"/>
      <c r="G4" s="496"/>
      <c r="H4" s="496"/>
      <c r="I4" s="496"/>
      <c r="J4" s="496"/>
      <c r="K4" s="496"/>
      <c r="L4" s="496"/>
      <c r="M4" s="496"/>
      <c r="N4" s="496"/>
      <c r="O4" s="496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s="9" customFormat="1" ht="15.75">
      <c r="A5" s="5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12</v>
      </c>
      <c r="L5" s="6" t="s">
        <v>13</v>
      </c>
      <c r="M5" s="6" t="s">
        <v>14</v>
      </c>
      <c r="N5" s="146" t="s">
        <v>15</v>
      </c>
      <c r="O5" s="7" t="s">
        <v>16</v>
      </c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s="9" customFormat="1" ht="15.75">
      <c r="A6" s="10" t="s">
        <v>374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47"/>
      <c r="O6" s="12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s="9" customFormat="1">
      <c r="A7" s="14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48"/>
      <c r="O7" s="16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s="9" customFormat="1" ht="15.75">
      <c r="A8" s="17" t="s">
        <v>17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49"/>
      <c r="O8" s="19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s="9" customFormat="1" ht="15.75">
      <c r="A9" s="20" t="s">
        <v>18</v>
      </c>
      <c r="B9" s="21">
        <v>20</v>
      </c>
      <c r="C9" s="21">
        <v>20</v>
      </c>
      <c r="D9" s="21">
        <v>20</v>
      </c>
      <c r="E9" s="21">
        <v>20</v>
      </c>
      <c r="F9" s="21">
        <v>20</v>
      </c>
      <c r="G9" s="21">
        <v>20</v>
      </c>
      <c r="H9" s="21">
        <v>20</v>
      </c>
      <c r="I9" s="21">
        <v>20</v>
      </c>
      <c r="J9" s="21">
        <v>20</v>
      </c>
      <c r="K9" s="21">
        <v>20</v>
      </c>
      <c r="L9" s="21">
        <v>40</v>
      </c>
      <c r="M9" s="21">
        <v>40</v>
      </c>
      <c r="N9" s="150">
        <f>SUM(B9:M9)</f>
        <v>280</v>
      </c>
      <c r="O9" s="22">
        <f>IF(N9=0,0,AVERAGE(B9:M9))</f>
        <v>23.333333333333332</v>
      </c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s="9" customFormat="1" ht="15.75">
      <c r="A10" s="20" t="s">
        <v>19</v>
      </c>
      <c r="B10" s="21">
        <v>40</v>
      </c>
      <c r="C10" s="21">
        <v>40</v>
      </c>
      <c r="D10" s="21">
        <v>40</v>
      </c>
      <c r="E10" s="21">
        <v>40</v>
      </c>
      <c r="F10" s="21">
        <v>40</v>
      </c>
      <c r="G10" s="21">
        <v>40</v>
      </c>
      <c r="H10" s="21">
        <v>40</v>
      </c>
      <c r="I10" s="21">
        <v>40</v>
      </c>
      <c r="J10" s="21">
        <v>40</v>
      </c>
      <c r="K10" s="21">
        <v>40</v>
      </c>
      <c r="L10" s="21">
        <v>20</v>
      </c>
      <c r="M10" s="21">
        <v>20</v>
      </c>
      <c r="N10" s="150">
        <f>SUM(B10:M10)</f>
        <v>440</v>
      </c>
      <c r="O10" s="22">
        <f>IF(N10=0,0,AVERAGE(B10:M10))</f>
        <v>36.666666666666664</v>
      </c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s="9" customFormat="1" ht="15.75">
      <c r="A11" s="20" t="s">
        <v>20</v>
      </c>
      <c r="B11" s="21">
        <v>10</v>
      </c>
      <c r="C11" s="21">
        <v>10</v>
      </c>
      <c r="D11" s="21">
        <v>10</v>
      </c>
      <c r="E11" s="21">
        <v>10</v>
      </c>
      <c r="F11" s="21">
        <v>10</v>
      </c>
      <c r="G11" s="21">
        <v>10</v>
      </c>
      <c r="H11" s="21">
        <v>10</v>
      </c>
      <c r="I11" s="21">
        <v>10</v>
      </c>
      <c r="J11" s="21">
        <v>10</v>
      </c>
      <c r="K11" s="21">
        <v>10</v>
      </c>
      <c r="L11" s="21">
        <v>10</v>
      </c>
      <c r="M11" s="21">
        <v>10</v>
      </c>
      <c r="N11" s="150">
        <f>SUM(B11:M11)</f>
        <v>120</v>
      </c>
      <c r="O11" s="22">
        <f>IF(N11=0,0,AVERAGE(B11:M11))</f>
        <v>10</v>
      </c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s="9" customFormat="1" ht="15.75">
      <c r="A12" s="23" t="s">
        <v>21</v>
      </c>
      <c r="B12" s="24">
        <f t="shared" ref="B12" si="0">IF(SUM(B9:B11)=0,"",SUM(B9:B11))</f>
        <v>70</v>
      </c>
      <c r="C12" s="24">
        <f t="shared" ref="C12:D12" si="1">IF(SUM(C9:C11)=0,"",SUM(C9:C11))</f>
        <v>70</v>
      </c>
      <c r="D12" s="24">
        <f t="shared" si="1"/>
        <v>70</v>
      </c>
      <c r="E12" s="24">
        <f t="shared" ref="E12:F12" si="2">IF(SUM(E9:E11)=0,"",SUM(E9:E11))</f>
        <v>70</v>
      </c>
      <c r="F12" s="24">
        <f t="shared" si="2"/>
        <v>70</v>
      </c>
      <c r="G12" s="24">
        <f t="shared" ref="G12:H12" si="3">IF(SUM(G9:G11)=0,"",SUM(G9:G11))</f>
        <v>70</v>
      </c>
      <c r="H12" s="24">
        <f t="shared" si="3"/>
        <v>70</v>
      </c>
      <c r="I12" s="24">
        <f t="shared" ref="I12" si="4">IF(SUM(I9:I11)=0,"",SUM(I9:I11))</f>
        <v>70</v>
      </c>
      <c r="J12" s="24">
        <f t="shared" ref="J12:K12" si="5">IF(SUM(J9:J11)=0,"",SUM(J9:J11))</f>
        <v>70</v>
      </c>
      <c r="K12" s="24">
        <f t="shared" si="5"/>
        <v>70</v>
      </c>
      <c r="L12" s="24">
        <f t="shared" ref="L12:M12" si="6">IF(SUM(L9:L11)=0,"",SUM(L9:L11))</f>
        <v>70</v>
      </c>
      <c r="M12" s="24">
        <f t="shared" si="6"/>
        <v>70</v>
      </c>
      <c r="N12" s="144">
        <f>SUM(N9:N11)</f>
        <v>840</v>
      </c>
      <c r="O12" s="25">
        <f>SUM(O9:O11)</f>
        <v>70</v>
      </c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s="9" customFormat="1">
      <c r="A13" s="26"/>
      <c r="B13" s="27"/>
      <c r="C13" s="27"/>
      <c r="D13" s="27"/>
      <c r="E13" s="27"/>
      <c r="F13" s="27"/>
      <c r="G13" s="27"/>
      <c r="H13" s="27"/>
      <c r="I13" s="27"/>
      <c r="J13" s="28"/>
      <c r="K13" s="28"/>
      <c r="L13" s="28"/>
      <c r="M13" s="28"/>
      <c r="N13" s="151"/>
      <c r="O13" s="16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s="9" customFormat="1" ht="15.75">
      <c r="A14" s="17" t="s">
        <v>23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49"/>
      <c r="O14" s="19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s="9" customFormat="1" ht="15.75">
      <c r="A15" s="20" t="s">
        <v>18</v>
      </c>
      <c r="B15" s="21">
        <f t="shared" ref="B15:L15" si="7">IF(B9="","",B9*B1870)</f>
        <v>620</v>
      </c>
      <c r="C15" s="21">
        <f t="shared" si="7"/>
        <v>560</v>
      </c>
      <c r="D15" s="21">
        <f t="shared" si="7"/>
        <v>620</v>
      </c>
      <c r="E15" s="21">
        <f t="shared" si="7"/>
        <v>600</v>
      </c>
      <c r="F15" s="21">
        <f t="shared" si="7"/>
        <v>620</v>
      </c>
      <c r="G15" s="21">
        <f t="shared" si="7"/>
        <v>600</v>
      </c>
      <c r="H15" s="21">
        <f t="shared" si="7"/>
        <v>620</v>
      </c>
      <c r="I15" s="21">
        <f t="shared" si="7"/>
        <v>620</v>
      </c>
      <c r="J15" s="21">
        <f t="shared" si="7"/>
        <v>600</v>
      </c>
      <c r="K15" s="21">
        <f t="shared" si="7"/>
        <v>620</v>
      </c>
      <c r="L15" s="21">
        <f t="shared" si="7"/>
        <v>1200</v>
      </c>
      <c r="M15" s="21">
        <f t="shared" ref="M15" si="8">IF(M9="","",M9*M1870)</f>
        <v>1240</v>
      </c>
      <c r="N15" s="150">
        <f>SUM(B15:M15)</f>
        <v>8520</v>
      </c>
      <c r="O15" s="22">
        <f>IF(N15=0,0,AVERAGE(B15:M15))</f>
        <v>710</v>
      </c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s="9" customFormat="1" ht="15.75">
      <c r="A16" s="20" t="s">
        <v>19</v>
      </c>
      <c r="B16" s="21">
        <f t="shared" ref="B16:L16" si="9">IF(B10="","",B10*B1870)</f>
        <v>1240</v>
      </c>
      <c r="C16" s="21">
        <f t="shared" si="9"/>
        <v>1120</v>
      </c>
      <c r="D16" s="21">
        <f t="shared" si="9"/>
        <v>1240</v>
      </c>
      <c r="E16" s="21">
        <f t="shared" si="9"/>
        <v>1200</v>
      </c>
      <c r="F16" s="21">
        <f t="shared" si="9"/>
        <v>1240</v>
      </c>
      <c r="G16" s="21">
        <f t="shared" si="9"/>
        <v>1200</v>
      </c>
      <c r="H16" s="21">
        <f t="shared" si="9"/>
        <v>1240</v>
      </c>
      <c r="I16" s="21">
        <f t="shared" si="9"/>
        <v>1240</v>
      </c>
      <c r="J16" s="21">
        <f t="shared" si="9"/>
        <v>1200</v>
      </c>
      <c r="K16" s="21">
        <f t="shared" si="9"/>
        <v>1240</v>
      </c>
      <c r="L16" s="21">
        <f t="shared" si="9"/>
        <v>600</v>
      </c>
      <c r="M16" s="21">
        <f t="shared" ref="M16" si="10">IF(M10="","",M10*M1870)</f>
        <v>620</v>
      </c>
      <c r="N16" s="150">
        <f>SUM(B16:M16)</f>
        <v>13380</v>
      </c>
      <c r="O16" s="22">
        <f>IF(N16=0,0,AVERAGE(B16:M16))</f>
        <v>1115</v>
      </c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s="9" customFormat="1" ht="15.75">
      <c r="A17" s="20" t="s">
        <v>20</v>
      </c>
      <c r="B17" s="21">
        <f t="shared" ref="B17:L17" si="11">IF(B11="","",B11*B1870)</f>
        <v>310</v>
      </c>
      <c r="C17" s="21">
        <f t="shared" si="11"/>
        <v>280</v>
      </c>
      <c r="D17" s="21">
        <f t="shared" si="11"/>
        <v>310</v>
      </c>
      <c r="E17" s="21">
        <f t="shared" si="11"/>
        <v>300</v>
      </c>
      <c r="F17" s="21">
        <f t="shared" si="11"/>
        <v>310</v>
      </c>
      <c r="G17" s="21">
        <f t="shared" si="11"/>
        <v>300</v>
      </c>
      <c r="H17" s="21">
        <f t="shared" si="11"/>
        <v>310</v>
      </c>
      <c r="I17" s="21">
        <f t="shared" si="11"/>
        <v>310</v>
      </c>
      <c r="J17" s="21">
        <f t="shared" si="11"/>
        <v>300</v>
      </c>
      <c r="K17" s="21">
        <f t="shared" si="11"/>
        <v>310</v>
      </c>
      <c r="L17" s="21">
        <f t="shared" si="11"/>
        <v>300</v>
      </c>
      <c r="M17" s="21">
        <f t="shared" ref="M17" si="12">IF(M11="","",M11*M1870)</f>
        <v>310</v>
      </c>
      <c r="N17" s="150">
        <f>SUM(B17:M17)</f>
        <v>3650</v>
      </c>
      <c r="O17" s="22">
        <f>IF(N17=0,0,AVERAGE(B17:M17))</f>
        <v>304.16666666666669</v>
      </c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s="9" customFormat="1" ht="15.75">
      <c r="A18" s="23" t="s">
        <v>21</v>
      </c>
      <c r="B18" s="24">
        <f t="shared" ref="B18:C18" si="13">IF(SUM(B15:B17)=0,"",SUM(B15:B17))</f>
        <v>2170</v>
      </c>
      <c r="C18" s="24">
        <f t="shared" si="13"/>
        <v>1960</v>
      </c>
      <c r="D18" s="24">
        <f t="shared" ref="D18:E18" si="14">IF(SUM(D15:D17)=0,"",SUM(D15:D17))</f>
        <v>2170</v>
      </c>
      <c r="E18" s="24">
        <f t="shared" si="14"/>
        <v>2100</v>
      </c>
      <c r="F18" s="24">
        <f t="shared" ref="F18:G18" si="15">IF(SUM(F15:F17)=0,"",SUM(F15:F17))</f>
        <v>2170</v>
      </c>
      <c r="G18" s="24">
        <f t="shared" si="15"/>
        <v>2100</v>
      </c>
      <c r="H18" s="24">
        <f t="shared" ref="H18:I18" si="16">IF(SUM(H15:H17)=0,"",SUM(H15:H17))</f>
        <v>2170</v>
      </c>
      <c r="I18" s="24">
        <f t="shared" si="16"/>
        <v>2170</v>
      </c>
      <c r="J18" s="24">
        <f t="shared" ref="J18:K18" si="17">IF(SUM(J15:J17)=0,"",SUM(J15:J17))</f>
        <v>2100</v>
      </c>
      <c r="K18" s="24">
        <f t="shared" si="17"/>
        <v>2170</v>
      </c>
      <c r="L18" s="24">
        <f t="shared" ref="L18:M18" si="18">IF(SUM(L15:L17)=0,"",SUM(L15:L17))</f>
        <v>2100</v>
      </c>
      <c r="M18" s="24">
        <f t="shared" si="18"/>
        <v>2170</v>
      </c>
      <c r="N18" s="144">
        <f>SUM(N15:N17)</f>
        <v>25550</v>
      </c>
      <c r="O18" s="25">
        <f>SUM(O15:O17)</f>
        <v>2129.1666666666665</v>
      </c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s="9" customFormat="1">
      <c r="A19" s="26"/>
      <c r="B19" s="27"/>
      <c r="C19" s="27"/>
      <c r="D19" s="27"/>
      <c r="E19" s="28"/>
      <c r="F19" s="28"/>
      <c r="G19" s="28"/>
      <c r="H19" s="28"/>
      <c r="I19" s="28"/>
      <c r="J19" s="28"/>
      <c r="K19" s="28"/>
      <c r="L19" s="28"/>
      <c r="M19" s="28"/>
      <c r="N19" s="151"/>
      <c r="O19" s="16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s="9" customFormat="1" ht="15.75">
      <c r="A20" s="17" t="s">
        <v>24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152"/>
      <c r="O20" s="31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s="9" customFormat="1" ht="15.75">
      <c r="A21" s="32" t="s">
        <v>29</v>
      </c>
      <c r="B21" s="21">
        <v>15</v>
      </c>
      <c r="C21" s="21">
        <v>15</v>
      </c>
      <c r="D21" s="21">
        <v>28</v>
      </c>
      <c r="E21" s="21">
        <v>19</v>
      </c>
      <c r="F21" s="21">
        <v>34</v>
      </c>
      <c r="G21" s="21">
        <v>81</v>
      </c>
      <c r="H21" s="21">
        <v>21</v>
      </c>
      <c r="I21" s="21">
        <v>16</v>
      </c>
      <c r="J21" s="21">
        <v>30</v>
      </c>
      <c r="K21" s="21">
        <v>15</v>
      </c>
      <c r="L21" s="21">
        <v>0</v>
      </c>
      <c r="M21" s="21">
        <v>3</v>
      </c>
      <c r="N21" s="150">
        <f>SUM(B21:M21)</f>
        <v>277</v>
      </c>
      <c r="O21" s="22">
        <f>IF(N21=0,0,AVERAGE(B21:M21))</f>
        <v>23.083333333333332</v>
      </c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s="9" customFormat="1" ht="15.75">
      <c r="A22" s="32" t="s">
        <v>26</v>
      </c>
      <c r="B22" s="21">
        <v>8</v>
      </c>
      <c r="C22" s="21">
        <v>24</v>
      </c>
      <c r="D22" s="21">
        <v>7</v>
      </c>
      <c r="E22" s="21">
        <v>0</v>
      </c>
      <c r="F22" s="21">
        <v>32</v>
      </c>
      <c r="G22" s="21">
        <v>29</v>
      </c>
      <c r="H22" s="21">
        <v>0</v>
      </c>
      <c r="I22" s="21">
        <v>54</v>
      </c>
      <c r="J22" s="21">
        <v>3</v>
      </c>
      <c r="K22" s="21">
        <v>70</v>
      </c>
      <c r="L22" s="21">
        <v>42</v>
      </c>
      <c r="M22" s="21">
        <v>53</v>
      </c>
      <c r="N22" s="150">
        <f t="shared" ref="N22:N36" si="19">SUM(B22:M22)</f>
        <v>322</v>
      </c>
      <c r="O22" s="22">
        <f t="shared" ref="O22:O36" si="20">IF(N22=0,0,AVERAGE(B22:M22))</f>
        <v>26.833333333333332</v>
      </c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s="9" customFormat="1" ht="15.75">
      <c r="A23" s="32" t="s">
        <v>321</v>
      </c>
      <c r="B23" s="21">
        <v>0</v>
      </c>
      <c r="C23" s="21">
        <v>2</v>
      </c>
      <c r="D23" s="21">
        <v>2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  <c r="J23" s="21">
        <v>0</v>
      </c>
      <c r="K23" s="21">
        <v>1</v>
      </c>
      <c r="L23" s="21">
        <v>5</v>
      </c>
      <c r="M23" s="21">
        <v>3</v>
      </c>
      <c r="N23" s="150">
        <f t="shared" si="19"/>
        <v>13</v>
      </c>
      <c r="O23" s="22">
        <f t="shared" si="20"/>
        <v>1.0833333333333333</v>
      </c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s="9" customFormat="1" ht="15.75">
      <c r="A24" s="32" t="s">
        <v>25</v>
      </c>
      <c r="B24" s="21">
        <v>246</v>
      </c>
      <c r="C24" s="21">
        <v>253</v>
      </c>
      <c r="D24" s="21">
        <v>222</v>
      </c>
      <c r="E24" s="21">
        <v>63</v>
      </c>
      <c r="F24" s="21">
        <v>16</v>
      </c>
      <c r="G24" s="21">
        <v>89</v>
      </c>
      <c r="H24" s="21">
        <v>169</v>
      </c>
      <c r="I24" s="21">
        <v>320</v>
      </c>
      <c r="J24" s="21">
        <v>280</v>
      </c>
      <c r="K24" s="21">
        <v>517</v>
      </c>
      <c r="L24" s="21">
        <v>596</v>
      </c>
      <c r="M24" s="21">
        <v>614</v>
      </c>
      <c r="N24" s="150">
        <f t="shared" si="19"/>
        <v>3385</v>
      </c>
      <c r="O24" s="22">
        <f t="shared" si="20"/>
        <v>282.08333333333331</v>
      </c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s="9" customFormat="1" ht="15.75">
      <c r="A25" s="32" t="s">
        <v>27</v>
      </c>
      <c r="B25" s="21">
        <v>17</v>
      </c>
      <c r="C25" s="21">
        <v>2</v>
      </c>
      <c r="D25" s="21">
        <v>2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  <c r="J25" s="21">
        <v>2</v>
      </c>
      <c r="K25" s="21">
        <v>0</v>
      </c>
      <c r="L25" s="21">
        <v>0</v>
      </c>
      <c r="M25" s="21">
        <v>0</v>
      </c>
      <c r="N25" s="150">
        <f t="shared" si="19"/>
        <v>23</v>
      </c>
      <c r="O25" s="22">
        <f t="shared" si="20"/>
        <v>1.9166666666666667</v>
      </c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s="9" customFormat="1" ht="15.75">
      <c r="A26" s="32" t="s">
        <v>101</v>
      </c>
      <c r="B26" s="21">
        <v>13</v>
      </c>
      <c r="C26" s="21">
        <v>57</v>
      </c>
      <c r="D26" s="21">
        <v>35</v>
      </c>
      <c r="E26" s="21">
        <v>15</v>
      </c>
      <c r="F26" s="21">
        <v>83</v>
      </c>
      <c r="G26" s="21">
        <v>62</v>
      </c>
      <c r="H26" s="21">
        <v>38</v>
      </c>
      <c r="I26" s="21">
        <v>5</v>
      </c>
      <c r="J26" s="21">
        <v>6</v>
      </c>
      <c r="K26" s="21">
        <v>0</v>
      </c>
      <c r="L26" s="21">
        <v>0</v>
      </c>
      <c r="M26" s="21">
        <v>0</v>
      </c>
      <c r="N26" s="150">
        <f t="shared" si="19"/>
        <v>314</v>
      </c>
      <c r="O26" s="22">
        <f t="shared" si="20"/>
        <v>26.166666666666668</v>
      </c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s="9" customFormat="1" ht="15.75">
      <c r="A27" s="32" t="s">
        <v>19</v>
      </c>
      <c r="B27" s="21">
        <v>373</v>
      </c>
      <c r="C27" s="21">
        <v>421</v>
      </c>
      <c r="D27" s="21">
        <v>442</v>
      </c>
      <c r="E27" s="21">
        <v>243</v>
      </c>
      <c r="F27" s="21">
        <v>394</v>
      </c>
      <c r="G27" s="21">
        <v>466</v>
      </c>
      <c r="H27" s="21">
        <v>443</v>
      </c>
      <c r="I27" s="21">
        <f>440+38</f>
        <v>478</v>
      </c>
      <c r="J27" s="21">
        <f>421+20</f>
        <v>441</v>
      </c>
      <c r="K27" s="21">
        <f>219+79</f>
        <v>298</v>
      </c>
      <c r="L27" s="21">
        <f>175+53+1</f>
        <v>229</v>
      </c>
      <c r="M27" s="21">
        <v>215</v>
      </c>
      <c r="N27" s="150">
        <f t="shared" si="19"/>
        <v>4443</v>
      </c>
      <c r="O27" s="22">
        <f t="shared" si="20"/>
        <v>370.25</v>
      </c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s="9" customFormat="1" ht="15.75">
      <c r="A28" s="32" t="s">
        <v>28</v>
      </c>
      <c r="B28" s="21">
        <v>25</v>
      </c>
      <c r="C28" s="21">
        <v>16</v>
      </c>
      <c r="D28" s="21">
        <v>5</v>
      </c>
      <c r="E28" s="21">
        <v>2</v>
      </c>
      <c r="F28" s="21">
        <v>0</v>
      </c>
      <c r="G28" s="21">
        <v>2</v>
      </c>
      <c r="H28" s="21">
        <v>104</v>
      </c>
      <c r="I28" s="21">
        <v>84</v>
      </c>
      <c r="J28" s="21">
        <v>29</v>
      </c>
      <c r="K28" s="21">
        <v>23</v>
      </c>
      <c r="L28" s="21">
        <v>124</v>
      </c>
      <c r="M28" s="21">
        <v>113</v>
      </c>
      <c r="N28" s="150">
        <f t="shared" si="19"/>
        <v>527</v>
      </c>
      <c r="O28" s="22">
        <f t="shared" si="20"/>
        <v>43.916666666666664</v>
      </c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s="9" customFormat="1" ht="15.75">
      <c r="A29" s="32" t="s">
        <v>124</v>
      </c>
      <c r="B29" s="21">
        <v>0</v>
      </c>
      <c r="C29" s="21">
        <v>0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  <c r="J29" s="21">
        <v>9</v>
      </c>
      <c r="K29" s="21">
        <v>0</v>
      </c>
      <c r="L29" s="21">
        <v>0</v>
      </c>
      <c r="M29" s="21">
        <v>0</v>
      </c>
      <c r="N29" s="150">
        <f t="shared" si="19"/>
        <v>9</v>
      </c>
      <c r="O29" s="22">
        <f t="shared" si="20"/>
        <v>0.75</v>
      </c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s="9" customFormat="1" ht="15.75">
      <c r="A30" s="32" t="s">
        <v>31</v>
      </c>
      <c r="B30" s="21">
        <v>139</v>
      </c>
      <c r="C30" s="21">
        <v>90</v>
      </c>
      <c r="D30" s="21">
        <v>76</v>
      </c>
      <c r="E30" s="21">
        <v>45</v>
      </c>
      <c r="F30" s="21">
        <v>24</v>
      </c>
      <c r="G30" s="21">
        <v>4</v>
      </c>
      <c r="H30" s="21">
        <v>32</v>
      </c>
      <c r="I30" s="21">
        <v>67</v>
      </c>
      <c r="J30" s="21">
        <v>82</v>
      </c>
      <c r="K30" s="21">
        <v>35</v>
      </c>
      <c r="L30" s="21">
        <v>0</v>
      </c>
      <c r="M30" s="21">
        <v>17</v>
      </c>
      <c r="N30" s="150">
        <f t="shared" si="19"/>
        <v>611</v>
      </c>
      <c r="O30" s="22">
        <f t="shared" si="20"/>
        <v>50.916666666666664</v>
      </c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s="9" customFormat="1" ht="15.75">
      <c r="A31" s="32" t="s">
        <v>340</v>
      </c>
      <c r="B31" s="21">
        <v>19</v>
      </c>
      <c r="C31" s="21">
        <v>9</v>
      </c>
      <c r="D31" s="21">
        <v>12</v>
      </c>
      <c r="E31" s="21">
        <v>0</v>
      </c>
      <c r="F31" s="21">
        <v>0</v>
      </c>
      <c r="G31" s="21">
        <v>0</v>
      </c>
      <c r="H31" s="21">
        <v>24</v>
      </c>
      <c r="I31" s="21">
        <v>5</v>
      </c>
      <c r="J31" s="21">
        <v>27</v>
      </c>
      <c r="K31" s="21">
        <v>5</v>
      </c>
      <c r="L31" s="21">
        <v>0</v>
      </c>
      <c r="M31" s="21">
        <v>0</v>
      </c>
      <c r="N31" s="150">
        <f t="shared" si="19"/>
        <v>101</v>
      </c>
      <c r="O31" s="22">
        <f t="shared" si="20"/>
        <v>8.4166666666666661</v>
      </c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s="9" customFormat="1" ht="15.75">
      <c r="A32" s="32" t="s">
        <v>125</v>
      </c>
      <c r="B32" s="21">
        <v>47</v>
      </c>
      <c r="C32" s="21">
        <v>46</v>
      </c>
      <c r="D32" s="21">
        <v>11</v>
      </c>
      <c r="E32" s="21">
        <v>12</v>
      </c>
      <c r="F32" s="21">
        <v>0</v>
      </c>
      <c r="G32" s="21">
        <v>0</v>
      </c>
      <c r="H32" s="21">
        <v>12</v>
      </c>
      <c r="I32" s="21">
        <v>16</v>
      </c>
      <c r="J32" s="21">
        <v>89</v>
      </c>
      <c r="K32" s="21">
        <v>19</v>
      </c>
      <c r="L32" s="21">
        <v>3</v>
      </c>
      <c r="M32" s="21">
        <v>4</v>
      </c>
      <c r="N32" s="150">
        <f t="shared" si="19"/>
        <v>259</v>
      </c>
      <c r="O32" s="22">
        <f t="shared" si="20"/>
        <v>21.583333333333332</v>
      </c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s="9" customFormat="1" ht="15.75">
      <c r="A33" s="32" t="s">
        <v>32</v>
      </c>
      <c r="B33" s="21">
        <v>182</v>
      </c>
      <c r="C33" s="21">
        <v>150</v>
      </c>
      <c r="D33" s="21">
        <v>216</v>
      </c>
      <c r="E33" s="21">
        <v>86</v>
      </c>
      <c r="F33" s="21">
        <v>76</v>
      </c>
      <c r="G33" s="21">
        <v>107</v>
      </c>
      <c r="H33" s="21">
        <v>243</v>
      </c>
      <c r="I33" s="21">
        <v>276</v>
      </c>
      <c r="J33" s="21">
        <v>231</v>
      </c>
      <c r="K33" s="21">
        <v>156</v>
      </c>
      <c r="L33" s="21">
        <v>159</v>
      </c>
      <c r="M33" s="21">
        <v>250</v>
      </c>
      <c r="N33" s="150">
        <f t="shared" si="19"/>
        <v>2132</v>
      </c>
      <c r="O33" s="22">
        <f t="shared" si="20"/>
        <v>177.66666666666666</v>
      </c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s="9" customFormat="1" ht="15.75">
      <c r="A34" s="32" t="s">
        <v>33</v>
      </c>
      <c r="B34" s="21">
        <v>9</v>
      </c>
      <c r="C34" s="21">
        <v>0</v>
      </c>
      <c r="D34" s="21">
        <v>81</v>
      </c>
      <c r="E34" s="21">
        <v>63</v>
      </c>
      <c r="F34" s="21">
        <v>19</v>
      </c>
      <c r="G34" s="21">
        <v>2</v>
      </c>
      <c r="H34" s="21">
        <v>19</v>
      </c>
      <c r="I34" s="21">
        <v>0</v>
      </c>
      <c r="J34" s="21">
        <v>14</v>
      </c>
      <c r="K34" s="21">
        <v>1</v>
      </c>
      <c r="L34" s="21">
        <v>21</v>
      </c>
      <c r="M34" s="21">
        <v>0</v>
      </c>
      <c r="N34" s="150">
        <f t="shared" si="19"/>
        <v>229</v>
      </c>
      <c r="O34" s="22">
        <f t="shared" si="20"/>
        <v>19.083333333333332</v>
      </c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s="9" customFormat="1" ht="15.75">
      <c r="A35" s="32" t="s">
        <v>34</v>
      </c>
      <c r="B35" s="21">
        <v>132</v>
      </c>
      <c r="C35" s="21">
        <v>91</v>
      </c>
      <c r="D35" s="21">
        <v>61</v>
      </c>
      <c r="E35" s="21">
        <v>254</v>
      </c>
      <c r="F35" s="21">
        <v>104</v>
      </c>
      <c r="G35" s="21">
        <v>170</v>
      </c>
      <c r="H35" s="21">
        <v>108</v>
      </c>
      <c r="I35" s="21">
        <v>37</v>
      </c>
      <c r="J35" s="21">
        <v>52</v>
      </c>
      <c r="K35" s="21">
        <v>46</v>
      </c>
      <c r="L35" s="21">
        <v>26</v>
      </c>
      <c r="M35" s="21">
        <v>36</v>
      </c>
      <c r="N35" s="150">
        <f t="shared" si="19"/>
        <v>1117</v>
      </c>
      <c r="O35" s="22">
        <f t="shared" si="20"/>
        <v>93.083333333333329</v>
      </c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s="9" customFormat="1" ht="15.75">
      <c r="A36" s="32" t="s">
        <v>35</v>
      </c>
      <c r="B36" s="21">
        <v>301</v>
      </c>
      <c r="C36" s="21">
        <v>198</v>
      </c>
      <c r="D36" s="21">
        <v>179</v>
      </c>
      <c r="E36" s="21">
        <v>199</v>
      </c>
      <c r="F36" s="21">
        <v>136</v>
      </c>
      <c r="G36" s="21">
        <v>135</v>
      </c>
      <c r="H36" s="21">
        <v>169</v>
      </c>
      <c r="I36" s="21">
        <v>242</v>
      </c>
      <c r="J36" s="21">
        <v>229</v>
      </c>
      <c r="K36" s="21">
        <v>100</v>
      </c>
      <c r="L36" s="21">
        <v>46</v>
      </c>
      <c r="M36" s="21">
        <v>64</v>
      </c>
      <c r="N36" s="150">
        <f t="shared" si="19"/>
        <v>1998</v>
      </c>
      <c r="O36" s="22">
        <f t="shared" si="20"/>
        <v>166.5</v>
      </c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s="9" customFormat="1" ht="15.75">
      <c r="A37" s="23" t="s">
        <v>21</v>
      </c>
      <c r="B37" s="24">
        <f t="shared" ref="B37" si="21">IF(SUM(B21:B36)=0,"",SUM(B21:B36))</f>
        <v>1526</v>
      </c>
      <c r="C37" s="24">
        <f t="shared" ref="C37:D37" si="22">IF(SUM(C21:C36)=0,"",SUM(C21:C36))</f>
        <v>1374</v>
      </c>
      <c r="D37" s="24">
        <f t="shared" si="22"/>
        <v>1379</v>
      </c>
      <c r="E37" s="24">
        <f t="shared" ref="E37" si="23">IF(SUM(E21:E36)=0,"",SUM(E21:E36))</f>
        <v>1001</v>
      </c>
      <c r="F37" s="24">
        <f t="shared" ref="F37" si="24">IF(SUM(F21:F36)=0,"",SUM(F21:F36))</f>
        <v>918</v>
      </c>
      <c r="G37" s="24">
        <f t="shared" ref="G37:H37" si="25">IF(SUM(G21:G36)=0,"",SUM(G21:G36))</f>
        <v>1147</v>
      </c>
      <c r="H37" s="24">
        <f t="shared" si="25"/>
        <v>1382</v>
      </c>
      <c r="I37" s="24">
        <f t="shared" ref="I37" si="26">IF(SUM(I21:I36)=0,"",SUM(I21:I36))</f>
        <v>1600</v>
      </c>
      <c r="J37" s="24">
        <f t="shared" ref="J37" si="27">IF(SUM(J21:J36)=0,"",SUM(J21:J36))</f>
        <v>1524</v>
      </c>
      <c r="K37" s="24">
        <f t="shared" ref="K37" si="28">IF(SUM(K21:K36)=0,"",SUM(K21:K36))</f>
        <v>1286</v>
      </c>
      <c r="L37" s="24">
        <f t="shared" ref="L37:M37" si="29">IF(SUM(L21:L36)=0,"",SUM(L21:L36))</f>
        <v>1251</v>
      </c>
      <c r="M37" s="24">
        <f t="shared" si="29"/>
        <v>1372</v>
      </c>
      <c r="N37" s="144">
        <f>SUM(N21:N36)</f>
        <v>15760</v>
      </c>
      <c r="O37" s="25">
        <f>SUM(O21:O36)</f>
        <v>1313.3333333333333</v>
      </c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s="9" customFormat="1">
      <c r="A38" s="33"/>
      <c r="B38" s="34"/>
      <c r="C38" s="34"/>
      <c r="D38" s="34"/>
      <c r="E38" s="35"/>
      <c r="F38" s="35"/>
      <c r="G38" s="35"/>
      <c r="H38" s="35"/>
      <c r="I38" s="35"/>
      <c r="J38" s="35"/>
      <c r="K38" s="35"/>
      <c r="L38" s="35"/>
      <c r="M38" s="35"/>
      <c r="N38" s="153"/>
      <c r="O38" s="16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s="9" customFormat="1" ht="15.75">
      <c r="A39" s="17" t="s">
        <v>36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49"/>
      <c r="O39" s="19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s="9" customFormat="1" ht="15.75">
      <c r="A40" s="20" t="s">
        <v>18</v>
      </c>
      <c r="B40" s="21">
        <v>312</v>
      </c>
      <c r="C40" s="21">
        <v>306</v>
      </c>
      <c r="D40" s="21">
        <v>255</v>
      </c>
      <c r="E40" s="21">
        <v>111</v>
      </c>
      <c r="F40" s="21">
        <v>159</v>
      </c>
      <c r="G40" s="21">
        <v>333</v>
      </c>
      <c r="H40" s="21">
        <v>359</v>
      </c>
      <c r="I40" s="21">
        <v>445</v>
      </c>
      <c r="J40" s="21">
        <v>363</v>
      </c>
      <c r="K40" s="21">
        <v>360</v>
      </c>
      <c r="L40" s="21">
        <v>727</v>
      </c>
      <c r="M40" s="21">
        <v>795</v>
      </c>
      <c r="N40" s="150">
        <f>SUM(B40:M40)</f>
        <v>4525</v>
      </c>
      <c r="O40" s="22">
        <f>IF(N40=0,0,AVERAGE(B40:M40))</f>
        <v>377.08333333333331</v>
      </c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s="9" customFormat="1" ht="15.75">
      <c r="A41" s="20" t="s">
        <v>19</v>
      </c>
      <c r="B41" s="21">
        <v>1017</v>
      </c>
      <c r="C41" s="21">
        <v>897</v>
      </c>
      <c r="D41" s="21">
        <v>944</v>
      </c>
      <c r="E41" s="21">
        <v>762</v>
      </c>
      <c r="F41" s="21">
        <v>627</v>
      </c>
      <c r="G41" s="21">
        <v>675</v>
      </c>
      <c r="H41" s="21">
        <v>874</v>
      </c>
      <c r="I41" s="21">
        <v>964</v>
      </c>
      <c r="J41" s="21">
        <v>922</v>
      </c>
      <c r="K41" s="21">
        <v>775</v>
      </c>
      <c r="L41" s="21">
        <v>405</v>
      </c>
      <c r="M41" s="21">
        <v>420</v>
      </c>
      <c r="N41" s="150">
        <f>SUM(B41:M41)</f>
        <v>9282</v>
      </c>
      <c r="O41" s="22">
        <f>IF(N41=0,0,AVERAGE(B41:M41))</f>
        <v>773.5</v>
      </c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s="9" customFormat="1" ht="15.75">
      <c r="A42" s="20" t="s">
        <v>20</v>
      </c>
      <c r="B42" s="21">
        <v>197</v>
      </c>
      <c r="C42" s="21">
        <v>171</v>
      </c>
      <c r="D42" s="21">
        <v>180</v>
      </c>
      <c r="E42" s="21">
        <v>128</v>
      </c>
      <c r="F42" s="21">
        <v>132</v>
      </c>
      <c r="G42" s="21">
        <v>139</v>
      </c>
      <c r="H42" s="21">
        <v>149</v>
      </c>
      <c r="I42" s="21">
        <v>191</v>
      </c>
      <c r="J42" s="21">
        <v>239</v>
      </c>
      <c r="K42" s="21">
        <v>151</v>
      </c>
      <c r="L42" s="21">
        <v>119</v>
      </c>
      <c r="M42" s="21">
        <v>157</v>
      </c>
      <c r="N42" s="150">
        <f>SUM(B42:M42)</f>
        <v>1953</v>
      </c>
      <c r="O42" s="22">
        <f>IF(N42=0,0,AVERAGE(B42:M42))</f>
        <v>162.75</v>
      </c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s="9" customFormat="1" ht="15.75">
      <c r="A43" s="23" t="s">
        <v>21</v>
      </c>
      <c r="B43" s="24">
        <f t="shared" ref="B43:M43" si="30">IF(SUM(B40:B42)=0,"",SUM(B40:B42))</f>
        <v>1526</v>
      </c>
      <c r="C43" s="24">
        <f t="shared" si="30"/>
        <v>1374</v>
      </c>
      <c r="D43" s="24">
        <f t="shared" ref="D43" si="31">IF(SUM(D40:D42)=0,"",SUM(D40:D42))</f>
        <v>1379</v>
      </c>
      <c r="E43" s="24">
        <f t="shared" si="30"/>
        <v>1001</v>
      </c>
      <c r="F43" s="24">
        <f t="shared" si="30"/>
        <v>918</v>
      </c>
      <c r="G43" s="24">
        <f t="shared" si="30"/>
        <v>1147</v>
      </c>
      <c r="H43" s="24">
        <f t="shared" si="30"/>
        <v>1382</v>
      </c>
      <c r="I43" s="24">
        <f t="shared" si="30"/>
        <v>1600</v>
      </c>
      <c r="J43" s="24">
        <f t="shared" si="30"/>
        <v>1524</v>
      </c>
      <c r="K43" s="24">
        <f t="shared" si="30"/>
        <v>1286</v>
      </c>
      <c r="L43" s="24">
        <f t="shared" si="30"/>
        <v>1251</v>
      </c>
      <c r="M43" s="24">
        <f t="shared" si="30"/>
        <v>1372</v>
      </c>
      <c r="N43" s="144">
        <f>SUM(N40:N42)</f>
        <v>15760</v>
      </c>
      <c r="O43" s="25">
        <f>SUM(O40:O42)</f>
        <v>1313.3333333333333</v>
      </c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s="9" customFormat="1">
      <c r="A44" s="26"/>
      <c r="B44" s="27"/>
      <c r="C44" s="27"/>
      <c r="D44" s="27"/>
      <c r="E44" s="28"/>
      <c r="F44" s="28"/>
      <c r="G44" s="28"/>
      <c r="H44" s="28"/>
      <c r="I44" s="28"/>
      <c r="J44" s="28"/>
      <c r="K44" s="28"/>
      <c r="L44" s="28"/>
      <c r="M44" s="28"/>
      <c r="N44" s="151"/>
      <c r="O44" s="16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s="9" customFormat="1" ht="15.75">
      <c r="A45" s="17" t="s">
        <v>37</v>
      </c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49"/>
      <c r="O45" s="19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s="9" customFormat="1" ht="15.75">
      <c r="A46" s="20" t="s">
        <v>18</v>
      </c>
      <c r="B46" s="145">
        <f t="shared" ref="B46:L46" si="32">IF(B40/B1870=0,"",(B40/B1870))</f>
        <v>10.064516129032258</v>
      </c>
      <c r="C46" s="145">
        <f t="shared" si="32"/>
        <v>10.928571428571429</v>
      </c>
      <c r="D46" s="145">
        <f t="shared" si="32"/>
        <v>8.2258064516129039</v>
      </c>
      <c r="E46" s="145">
        <f t="shared" si="32"/>
        <v>3.7</v>
      </c>
      <c r="F46" s="145">
        <f t="shared" si="32"/>
        <v>5.129032258064516</v>
      </c>
      <c r="G46" s="145">
        <f t="shared" si="32"/>
        <v>11.1</v>
      </c>
      <c r="H46" s="145">
        <f t="shared" si="32"/>
        <v>11.580645161290322</v>
      </c>
      <c r="I46" s="145">
        <f t="shared" si="32"/>
        <v>14.35483870967742</v>
      </c>
      <c r="J46" s="470">
        <f t="shared" si="32"/>
        <v>12.1</v>
      </c>
      <c r="K46" s="145">
        <f t="shared" si="32"/>
        <v>11.612903225806452</v>
      </c>
      <c r="L46" s="145">
        <f t="shared" si="32"/>
        <v>24.233333333333334</v>
      </c>
      <c r="M46" s="145">
        <f t="shared" ref="M46" si="33">IF(M40/M1870=0,"",(M40/M1870))</f>
        <v>25.64516129032258</v>
      </c>
      <c r="N46" s="150">
        <f>SUM(B46:M46)</f>
        <v>148.6748079877112</v>
      </c>
      <c r="O46" s="22">
        <f>IF(N46=0,0,AVERAGE(B46:M46))</f>
        <v>12.389567332309268</v>
      </c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s="9" customFormat="1" ht="15.75">
      <c r="A47" s="20" t="s">
        <v>19</v>
      </c>
      <c r="B47" s="145">
        <f t="shared" ref="B47:L47" si="34">IF(B41/B1870=0,"",(B41/B1870))</f>
        <v>32.806451612903224</v>
      </c>
      <c r="C47" s="145">
        <f t="shared" si="34"/>
        <v>32.035714285714285</v>
      </c>
      <c r="D47" s="145">
        <f t="shared" si="34"/>
        <v>30.451612903225808</v>
      </c>
      <c r="E47" s="145">
        <f t="shared" si="34"/>
        <v>25.4</v>
      </c>
      <c r="F47" s="145">
        <f t="shared" si="34"/>
        <v>20.225806451612904</v>
      </c>
      <c r="G47" s="145">
        <f t="shared" si="34"/>
        <v>22.5</v>
      </c>
      <c r="H47" s="145">
        <f t="shared" si="34"/>
        <v>28.193548387096776</v>
      </c>
      <c r="I47" s="145">
        <f t="shared" si="34"/>
        <v>31.096774193548388</v>
      </c>
      <c r="J47" s="470">
        <f t="shared" si="34"/>
        <v>30.733333333333334</v>
      </c>
      <c r="K47" s="145">
        <f t="shared" si="34"/>
        <v>25</v>
      </c>
      <c r="L47" s="145">
        <f t="shared" si="34"/>
        <v>13.5</v>
      </c>
      <c r="M47" s="145">
        <f t="shared" ref="M47" si="35">IF(M41/M1870=0,"",(M41/M1870))</f>
        <v>13.548387096774194</v>
      </c>
      <c r="N47" s="150">
        <f>SUM(B47:M47)</f>
        <v>305.49162826420888</v>
      </c>
      <c r="O47" s="22">
        <f>IF(N47=0,0,AVERAGE(B47:M47))</f>
        <v>25.457635688684075</v>
      </c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s="9" customFormat="1" ht="15.75">
      <c r="A48" s="20" t="s">
        <v>20</v>
      </c>
      <c r="B48" s="145">
        <f t="shared" ref="B48:L48" si="36">IF(B42/B1870=0,"",(B42/B1870))</f>
        <v>6.354838709677419</v>
      </c>
      <c r="C48" s="145">
        <f t="shared" si="36"/>
        <v>6.1071428571428568</v>
      </c>
      <c r="D48" s="145">
        <f t="shared" si="36"/>
        <v>5.806451612903226</v>
      </c>
      <c r="E48" s="145">
        <f t="shared" si="36"/>
        <v>4.2666666666666666</v>
      </c>
      <c r="F48" s="145">
        <f t="shared" si="36"/>
        <v>4.258064516129032</v>
      </c>
      <c r="G48" s="145">
        <f t="shared" si="36"/>
        <v>4.6333333333333337</v>
      </c>
      <c r="H48" s="145">
        <f t="shared" si="36"/>
        <v>4.806451612903226</v>
      </c>
      <c r="I48" s="145">
        <f t="shared" si="36"/>
        <v>6.161290322580645</v>
      </c>
      <c r="J48" s="470">
        <f t="shared" si="36"/>
        <v>7.9666666666666668</v>
      </c>
      <c r="K48" s="145">
        <f t="shared" si="36"/>
        <v>4.870967741935484</v>
      </c>
      <c r="L48" s="145">
        <f t="shared" si="36"/>
        <v>3.9666666666666668</v>
      </c>
      <c r="M48" s="145">
        <f t="shared" ref="M48" si="37">IF(M42/M1870=0,"",(M42/M1870))</f>
        <v>5.064516129032258</v>
      </c>
      <c r="N48" s="150">
        <f>SUM(B48:M48)</f>
        <v>64.263056835637485</v>
      </c>
      <c r="O48" s="22">
        <f>IF(N48=0,0,AVERAGE(B48:M48))</f>
        <v>5.3552547363031238</v>
      </c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s="9" customFormat="1" ht="15.75">
      <c r="A49" s="23" t="s">
        <v>21</v>
      </c>
      <c r="B49" s="25">
        <f t="shared" ref="B49:L49" si="38">IF(SUM(B46:B48)=0,"",SUM(B46:B48))</f>
        <v>49.225806451612897</v>
      </c>
      <c r="C49" s="25">
        <f t="shared" si="38"/>
        <v>49.071428571428569</v>
      </c>
      <c r="D49" s="25">
        <f t="shared" ref="D49" si="39">IF(SUM(D46:D48)=0,"",SUM(D46:D48))</f>
        <v>44.483870967741936</v>
      </c>
      <c r="E49" s="25">
        <f t="shared" si="38"/>
        <v>33.366666666666667</v>
      </c>
      <c r="F49" s="25">
        <f t="shared" si="38"/>
        <v>29.612903225806452</v>
      </c>
      <c r="G49" s="25">
        <f t="shared" si="38"/>
        <v>38.233333333333334</v>
      </c>
      <c r="H49" s="25">
        <f t="shared" si="38"/>
        <v>44.58064516129032</v>
      </c>
      <c r="I49" s="25">
        <f t="shared" si="38"/>
        <v>51.612903225806456</v>
      </c>
      <c r="J49" s="25">
        <f t="shared" si="38"/>
        <v>50.800000000000004</v>
      </c>
      <c r="K49" s="25">
        <f t="shared" si="38"/>
        <v>41.483870967741936</v>
      </c>
      <c r="L49" s="25">
        <f t="shared" si="38"/>
        <v>41.7</v>
      </c>
      <c r="M49" s="25">
        <f t="shared" ref="M49" si="40">IF(SUM(M46:M48)=0,"",SUM(M46:M48))</f>
        <v>44.258064516129032</v>
      </c>
      <c r="N49" s="144">
        <f>SUM(N46:N48)</f>
        <v>518.4294930875576</v>
      </c>
      <c r="O49" s="25">
        <f>SUM(O46:O48)</f>
        <v>43.202457757296465</v>
      </c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s="9" customFormat="1">
      <c r="A50" s="26"/>
      <c r="B50" s="27"/>
      <c r="C50" s="27"/>
      <c r="D50" s="27"/>
      <c r="E50" s="28"/>
      <c r="F50" s="28"/>
      <c r="G50" s="28"/>
      <c r="H50" s="28"/>
      <c r="I50" s="28"/>
      <c r="J50" s="28"/>
      <c r="K50" s="28"/>
      <c r="L50" s="28"/>
      <c r="M50" s="28"/>
      <c r="N50" s="151"/>
      <c r="O50" s="16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s="9" customFormat="1" ht="15.75">
      <c r="A51" s="17" t="s">
        <v>42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152"/>
      <c r="O51" s="31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s="9" customFormat="1" ht="15.75">
      <c r="A52" s="32" t="s">
        <v>29</v>
      </c>
      <c r="B52" s="21">
        <v>0</v>
      </c>
      <c r="C52" s="21">
        <v>1</v>
      </c>
      <c r="D52" s="21">
        <v>1</v>
      </c>
      <c r="E52" s="21">
        <v>3</v>
      </c>
      <c r="F52" s="21">
        <v>1</v>
      </c>
      <c r="G52" s="21">
        <v>5</v>
      </c>
      <c r="H52" s="21">
        <v>2</v>
      </c>
      <c r="I52" s="21">
        <v>1</v>
      </c>
      <c r="J52" s="21">
        <v>0</v>
      </c>
      <c r="K52" s="21">
        <v>0</v>
      </c>
      <c r="L52" s="21">
        <v>0</v>
      </c>
      <c r="M52" s="21">
        <v>1</v>
      </c>
      <c r="N52" s="150">
        <f>SUM(B52:M52)</f>
        <v>15</v>
      </c>
      <c r="O52" s="22">
        <f>IF(N52=0,0,AVERAGE(B52:M52))</f>
        <v>1.25</v>
      </c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s="9" customFormat="1" ht="15.75">
      <c r="A53" s="32" t="s">
        <v>26</v>
      </c>
      <c r="B53" s="21">
        <v>2</v>
      </c>
      <c r="C53" s="21">
        <v>3</v>
      </c>
      <c r="D53" s="21">
        <v>1</v>
      </c>
      <c r="E53" s="21">
        <v>0</v>
      </c>
      <c r="F53" s="21">
        <v>3</v>
      </c>
      <c r="G53" s="21">
        <v>1</v>
      </c>
      <c r="H53" s="21">
        <v>0</v>
      </c>
      <c r="I53" s="21">
        <v>7</v>
      </c>
      <c r="J53" s="21">
        <v>2</v>
      </c>
      <c r="K53" s="21">
        <v>21</v>
      </c>
      <c r="L53" s="21">
        <v>10</v>
      </c>
      <c r="M53" s="21">
        <v>16</v>
      </c>
      <c r="N53" s="150">
        <f t="shared" ref="N53:N67" si="41">SUM(B53:M53)</f>
        <v>66</v>
      </c>
      <c r="O53" s="22">
        <f t="shared" ref="O53:O67" si="42">IF(N53=0,0,AVERAGE(B53:M53))</f>
        <v>5.5</v>
      </c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s="9" customFormat="1" ht="15.75">
      <c r="A54" s="32" t="s">
        <v>321</v>
      </c>
      <c r="B54" s="21">
        <v>0</v>
      </c>
      <c r="C54" s="21">
        <v>1</v>
      </c>
      <c r="D54" s="21">
        <v>1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1</v>
      </c>
      <c r="L54" s="21">
        <v>2</v>
      </c>
      <c r="M54" s="21">
        <v>2</v>
      </c>
      <c r="N54" s="150">
        <f t="shared" si="41"/>
        <v>7</v>
      </c>
      <c r="O54" s="22">
        <f t="shared" si="42"/>
        <v>0.58333333333333337</v>
      </c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s="9" customFormat="1" ht="15.75">
      <c r="A55" s="32" t="s">
        <v>25</v>
      </c>
      <c r="B55" s="21">
        <v>70</v>
      </c>
      <c r="C55" s="21">
        <v>76</v>
      </c>
      <c r="D55" s="21">
        <v>64</v>
      </c>
      <c r="E55" s="21">
        <v>15</v>
      </c>
      <c r="F55" s="21">
        <v>1</v>
      </c>
      <c r="G55" s="21">
        <v>9</v>
      </c>
      <c r="H55" s="21">
        <v>22</v>
      </c>
      <c r="I55" s="21">
        <v>78</v>
      </c>
      <c r="J55" s="21">
        <v>65</v>
      </c>
      <c r="K55" s="21">
        <v>132</v>
      </c>
      <c r="L55" s="21">
        <v>153</v>
      </c>
      <c r="M55" s="21">
        <v>128</v>
      </c>
      <c r="N55" s="150">
        <f t="shared" si="41"/>
        <v>813</v>
      </c>
      <c r="O55" s="22">
        <f t="shared" si="42"/>
        <v>67.75</v>
      </c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s="9" customFormat="1" ht="15.75">
      <c r="A56" s="32" t="s">
        <v>27</v>
      </c>
      <c r="B56" s="21">
        <v>7</v>
      </c>
      <c r="C56" s="21">
        <v>1</v>
      </c>
      <c r="D56" s="21">
        <v>1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  <c r="J56" s="21">
        <v>1</v>
      </c>
      <c r="K56" s="21">
        <v>1</v>
      </c>
      <c r="L56" s="21">
        <v>0</v>
      </c>
      <c r="M56" s="21">
        <v>0</v>
      </c>
      <c r="N56" s="150">
        <f t="shared" si="41"/>
        <v>11</v>
      </c>
      <c r="O56" s="22">
        <f t="shared" si="42"/>
        <v>0.91666666666666663</v>
      </c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s="9" customFormat="1" ht="15.75">
      <c r="A57" s="32" t="s">
        <v>101</v>
      </c>
      <c r="B57" s="21">
        <v>2</v>
      </c>
      <c r="C57" s="21">
        <v>0</v>
      </c>
      <c r="D57" s="21">
        <v>1</v>
      </c>
      <c r="E57" s="21">
        <v>0</v>
      </c>
      <c r="F57" s="21">
        <v>5</v>
      </c>
      <c r="G57" s="21">
        <v>3</v>
      </c>
      <c r="H57" s="21">
        <v>1</v>
      </c>
      <c r="I57" s="21">
        <v>1</v>
      </c>
      <c r="J57" s="21">
        <v>1</v>
      </c>
      <c r="K57" s="21">
        <v>0</v>
      </c>
      <c r="L57" s="21">
        <v>0</v>
      </c>
      <c r="M57" s="21">
        <v>0</v>
      </c>
      <c r="N57" s="150">
        <f t="shared" si="41"/>
        <v>14</v>
      </c>
      <c r="O57" s="22">
        <f t="shared" si="42"/>
        <v>1.1666666666666667</v>
      </c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s="9" customFormat="1" ht="15.75">
      <c r="A58" s="32" t="s">
        <v>19</v>
      </c>
      <c r="B58" s="21">
        <v>24</v>
      </c>
      <c r="C58" s="21">
        <v>27</v>
      </c>
      <c r="D58" s="21">
        <v>22</v>
      </c>
      <c r="E58" s="21">
        <v>24</v>
      </c>
      <c r="F58" s="21">
        <v>15</v>
      </c>
      <c r="G58" s="21">
        <v>30</v>
      </c>
      <c r="H58" s="21">
        <v>28</v>
      </c>
      <c r="I58" s="21">
        <v>21</v>
      </c>
      <c r="J58" s="21">
        <f>29+1</f>
        <v>30</v>
      </c>
      <c r="K58" s="21">
        <f>12+6</f>
        <v>18</v>
      </c>
      <c r="L58" s="21">
        <f>11+5+2</f>
        <v>18</v>
      </c>
      <c r="M58" s="21">
        <v>13</v>
      </c>
      <c r="N58" s="150">
        <f t="shared" si="41"/>
        <v>270</v>
      </c>
      <c r="O58" s="22">
        <f t="shared" si="42"/>
        <v>22.5</v>
      </c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s="9" customFormat="1" ht="15.75">
      <c r="A59" s="32" t="s">
        <v>28</v>
      </c>
      <c r="B59" s="21">
        <v>7</v>
      </c>
      <c r="C59" s="21">
        <v>6</v>
      </c>
      <c r="D59" s="21">
        <v>2</v>
      </c>
      <c r="E59" s="21">
        <v>1</v>
      </c>
      <c r="F59" s="21">
        <v>0</v>
      </c>
      <c r="G59" s="21">
        <v>1</v>
      </c>
      <c r="H59" s="21">
        <v>6</v>
      </c>
      <c r="I59" s="21">
        <v>6</v>
      </c>
      <c r="J59" s="21">
        <v>3</v>
      </c>
      <c r="K59" s="21">
        <v>7</v>
      </c>
      <c r="L59" s="21">
        <v>14</v>
      </c>
      <c r="M59" s="21">
        <v>15</v>
      </c>
      <c r="N59" s="150">
        <f t="shared" si="41"/>
        <v>68</v>
      </c>
      <c r="O59" s="22">
        <f t="shared" si="42"/>
        <v>5.666666666666667</v>
      </c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s="9" customFormat="1" ht="15.75">
      <c r="A60" s="32" t="s">
        <v>124</v>
      </c>
      <c r="B60" s="21">
        <v>0</v>
      </c>
      <c r="C60" s="21">
        <v>0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  <c r="J60" s="21">
        <v>1</v>
      </c>
      <c r="K60" s="21">
        <v>0</v>
      </c>
      <c r="L60" s="21">
        <v>0</v>
      </c>
      <c r="M60" s="21">
        <v>0</v>
      </c>
      <c r="N60" s="150">
        <f t="shared" si="41"/>
        <v>1</v>
      </c>
      <c r="O60" s="22">
        <f t="shared" si="42"/>
        <v>8.3333333333333329E-2</v>
      </c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s="9" customFormat="1" ht="15.75">
      <c r="A61" s="32" t="s">
        <v>31</v>
      </c>
      <c r="B61" s="21">
        <v>7</v>
      </c>
      <c r="C61" s="21">
        <v>6</v>
      </c>
      <c r="D61" s="21">
        <v>2</v>
      </c>
      <c r="E61" s="21">
        <v>1</v>
      </c>
      <c r="F61" s="21">
        <v>1</v>
      </c>
      <c r="G61" s="21">
        <v>0</v>
      </c>
      <c r="H61" s="21">
        <v>5</v>
      </c>
      <c r="I61" s="21">
        <v>6</v>
      </c>
      <c r="J61" s="21">
        <v>4</v>
      </c>
      <c r="K61" s="21">
        <v>1</v>
      </c>
      <c r="L61" s="21">
        <v>0</v>
      </c>
      <c r="M61" s="21">
        <v>2</v>
      </c>
      <c r="N61" s="150">
        <f t="shared" si="41"/>
        <v>35</v>
      </c>
      <c r="O61" s="22">
        <f t="shared" si="42"/>
        <v>2.9166666666666665</v>
      </c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s="9" customFormat="1" ht="15.75">
      <c r="A62" s="32" t="s">
        <v>340</v>
      </c>
      <c r="B62" s="21">
        <v>2</v>
      </c>
      <c r="C62" s="21">
        <v>4</v>
      </c>
      <c r="D62" s="21">
        <v>2</v>
      </c>
      <c r="E62" s="21">
        <v>0</v>
      </c>
      <c r="F62" s="21">
        <v>0</v>
      </c>
      <c r="G62" s="21">
        <v>0</v>
      </c>
      <c r="H62" s="21">
        <v>1</v>
      </c>
      <c r="I62" s="21">
        <v>3</v>
      </c>
      <c r="J62" s="21">
        <v>6</v>
      </c>
      <c r="K62" s="21">
        <v>3</v>
      </c>
      <c r="L62" s="21">
        <v>0</v>
      </c>
      <c r="M62" s="21">
        <v>0</v>
      </c>
      <c r="N62" s="150">
        <f t="shared" si="41"/>
        <v>21</v>
      </c>
      <c r="O62" s="22">
        <f t="shared" si="42"/>
        <v>1.75</v>
      </c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s="9" customFormat="1" ht="15.75">
      <c r="A63" s="32" t="s">
        <v>125</v>
      </c>
      <c r="B63" s="21">
        <v>6</v>
      </c>
      <c r="C63" s="21">
        <v>1</v>
      </c>
      <c r="D63" s="21">
        <v>1</v>
      </c>
      <c r="E63" s="21">
        <v>1</v>
      </c>
      <c r="F63" s="21">
        <v>33</v>
      </c>
      <c r="G63" s="21">
        <v>0</v>
      </c>
      <c r="H63" s="21">
        <v>1</v>
      </c>
      <c r="I63" s="21">
        <v>3</v>
      </c>
      <c r="J63" s="21">
        <v>8</v>
      </c>
      <c r="K63" s="21">
        <v>0</v>
      </c>
      <c r="L63" s="21">
        <v>1</v>
      </c>
      <c r="M63" s="21">
        <v>1</v>
      </c>
      <c r="N63" s="150">
        <f t="shared" si="41"/>
        <v>56</v>
      </c>
      <c r="O63" s="22">
        <f t="shared" si="42"/>
        <v>4.666666666666667</v>
      </c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s="9" customFormat="1" ht="15.75">
      <c r="A64" s="32" t="s">
        <v>32</v>
      </c>
      <c r="B64" s="21">
        <v>5</v>
      </c>
      <c r="C64" s="21">
        <v>11</v>
      </c>
      <c r="D64" s="21">
        <v>8</v>
      </c>
      <c r="E64" s="21">
        <v>3</v>
      </c>
      <c r="F64" s="21">
        <v>8</v>
      </c>
      <c r="G64" s="21">
        <v>5</v>
      </c>
      <c r="H64" s="21">
        <v>10</v>
      </c>
      <c r="I64" s="21">
        <v>14</v>
      </c>
      <c r="J64" s="21">
        <v>4</v>
      </c>
      <c r="K64" s="21">
        <v>4</v>
      </c>
      <c r="L64" s="21">
        <v>7</v>
      </c>
      <c r="M64" s="21">
        <v>8</v>
      </c>
      <c r="N64" s="150">
        <f t="shared" si="41"/>
        <v>87</v>
      </c>
      <c r="O64" s="22">
        <f t="shared" si="42"/>
        <v>7.25</v>
      </c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s="9" customFormat="1" ht="15.75">
      <c r="A65" s="32" t="s">
        <v>33</v>
      </c>
      <c r="B65" s="21">
        <v>0</v>
      </c>
      <c r="C65" s="21">
        <v>0</v>
      </c>
      <c r="D65" s="21">
        <v>3</v>
      </c>
      <c r="E65" s="21">
        <v>0</v>
      </c>
      <c r="F65" s="21">
        <v>2</v>
      </c>
      <c r="G65" s="21">
        <v>0</v>
      </c>
      <c r="H65" s="21">
        <v>2</v>
      </c>
      <c r="I65" s="21">
        <v>0</v>
      </c>
      <c r="J65" s="21">
        <v>1</v>
      </c>
      <c r="K65" s="21">
        <v>0</v>
      </c>
      <c r="L65" s="21">
        <v>1</v>
      </c>
      <c r="M65" s="21">
        <v>0</v>
      </c>
      <c r="N65" s="150">
        <f t="shared" si="41"/>
        <v>9</v>
      </c>
      <c r="O65" s="22">
        <f t="shared" si="42"/>
        <v>0.75</v>
      </c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s="9" customFormat="1" ht="15.75">
      <c r="A66" s="32" t="s">
        <v>34</v>
      </c>
      <c r="B66" s="21">
        <v>10</v>
      </c>
      <c r="C66" s="21">
        <v>5</v>
      </c>
      <c r="D66" s="21">
        <v>7</v>
      </c>
      <c r="E66" s="21">
        <v>16</v>
      </c>
      <c r="F66" s="21">
        <v>6</v>
      </c>
      <c r="G66" s="21">
        <v>8</v>
      </c>
      <c r="H66" s="21">
        <v>6</v>
      </c>
      <c r="I66" s="21">
        <v>3</v>
      </c>
      <c r="J66" s="21">
        <v>6</v>
      </c>
      <c r="K66" s="21">
        <v>4</v>
      </c>
      <c r="L66" s="21">
        <v>3</v>
      </c>
      <c r="M66" s="21">
        <v>5</v>
      </c>
      <c r="N66" s="150">
        <f t="shared" si="41"/>
        <v>79</v>
      </c>
      <c r="O66" s="22">
        <f t="shared" si="42"/>
        <v>6.583333333333333</v>
      </c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s="9" customFormat="1" ht="15.75">
      <c r="A67" s="32" t="s">
        <v>35</v>
      </c>
      <c r="B67" s="21">
        <v>15</v>
      </c>
      <c r="C67" s="21">
        <v>6</v>
      </c>
      <c r="D67" s="21">
        <v>8</v>
      </c>
      <c r="E67" s="21">
        <v>13</v>
      </c>
      <c r="F67" s="21">
        <v>7</v>
      </c>
      <c r="G67" s="21">
        <v>4</v>
      </c>
      <c r="H67" s="21">
        <v>15</v>
      </c>
      <c r="I67" s="21">
        <v>15</v>
      </c>
      <c r="J67" s="21">
        <v>10</v>
      </c>
      <c r="K67" s="21">
        <v>3</v>
      </c>
      <c r="L67" s="21">
        <v>4</v>
      </c>
      <c r="M67" s="21">
        <v>2</v>
      </c>
      <c r="N67" s="150">
        <f t="shared" si="41"/>
        <v>102</v>
      </c>
      <c r="O67" s="22">
        <f t="shared" si="42"/>
        <v>8.5</v>
      </c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s="9" customFormat="1" ht="15.75">
      <c r="A68" s="23" t="s">
        <v>21</v>
      </c>
      <c r="B68" s="24">
        <f>IF(SUM(B52:B67)=0,"",SUM(B52:B67))</f>
        <v>157</v>
      </c>
      <c r="C68" s="24">
        <f t="shared" ref="C68:M68" si="43">IF(SUM(C52:C67)=0,"",SUM(C52:C67))</f>
        <v>148</v>
      </c>
      <c r="D68" s="24">
        <f t="shared" si="43"/>
        <v>124</v>
      </c>
      <c r="E68" s="24">
        <f t="shared" si="43"/>
        <v>77</v>
      </c>
      <c r="F68" s="24">
        <f t="shared" si="43"/>
        <v>82</v>
      </c>
      <c r="G68" s="24">
        <f t="shared" si="43"/>
        <v>66</v>
      </c>
      <c r="H68" s="24">
        <f t="shared" si="43"/>
        <v>99</v>
      </c>
      <c r="I68" s="24">
        <f t="shared" si="43"/>
        <v>158</v>
      </c>
      <c r="J68" s="24">
        <f t="shared" si="43"/>
        <v>142</v>
      </c>
      <c r="K68" s="24">
        <f t="shared" si="43"/>
        <v>195</v>
      </c>
      <c r="L68" s="24">
        <f t="shared" si="43"/>
        <v>213</v>
      </c>
      <c r="M68" s="24">
        <f t="shared" si="43"/>
        <v>193</v>
      </c>
      <c r="N68" s="144">
        <f>SUM(N52:N67)</f>
        <v>1654</v>
      </c>
      <c r="O68" s="25">
        <f>SUM(O52:O67)</f>
        <v>137.83333333333334</v>
      </c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s="9" customFormat="1">
      <c r="A69" s="33"/>
      <c r="B69" s="34"/>
      <c r="C69" s="34"/>
      <c r="D69" s="34"/>
      <c r="E69" s="35"/>
      <c r="F69" s="35"/>
      <c r="G69" s="35"/>
      <c r="H69" s="35"/>
      <c r="I69" s="35"/>
      <c r="J69" s="35"/>
      <c r="K69" s="35"/>
      <c r="L69" s="35"/>
      <c r="M69" s="35"/>
      <c r="N69" s="153"/>
      <c r="O69" s="16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s="9" customFormat="1" ht="15.75">
      <c r="A70" s="183" t="s">
        <v>45</v>
      </c>
      <c r="B70" s="306"/>
      <c r="C70" s="306"/>
      <c r="D70" s="306"/>
      <c r="E70" s="306"/>
      <c r="F70" s="306"/>
      <c r="G70" s="306"/>
      <c r="H70" s="306"/>
      <c r="I70" s="306"/>
      <c r="J70" s="184"/>
      <c r="K70" s="184"/>
      <c r="L70" s="184"/>
      <c r="M70" s="184"/>
      <c r="N70" s="185"/>
      <c r="O70" s="186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s="9" customFormat="1" ht="15.75">
      <c r="A71" s="305" t="s">
        <v>18</v>
      </c>
      <c r="B71" s="39">
        <v>89</v>
      </c>
      <c r="C71" s="39">
        <v>92</v>
      </c>
      <c r="D71" s="39">
        <v>71</v>
      </c>
      <c r="E71" s="39">
        <v>27</v>
      </c>
      <c r="F71" s="39">
        <v>15</v>
      </c>
      <c r="G71" s="39">
        <v>14</v>
      </c>
      <c r="H71" s="39">
        <v>31</v>
      </c>
      <c r="I71" s="39">
        <v>96</v>
      </c>
      <c r="J71" s="39">
        <v>78</v>
      </c>
      <c r="K71" s="39">
        <v>88</v>
      </c>
      <c r="L71" s="39">
        <v>170</v>
      </c>
      <c r="M71" s="39">
        <v>165</v>
      </c>
      <c r="N71" s="174">
        <f>SUM(B71:M71)</f>
        <v>936</v>
      </c>
      <c r="O71" s="122">
        <f>IF(N71=0,0,AVERAGE(B71:M71))</f>
        <v>78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s="9" customFormat="1" ht="15.75">
      <c r="A72" s="20" t="s">
        <v>19</v>
      </c>
      <c r="B72" s="21">
        <v>59</v>
      </c>
      <c r="C72" s="21">
        <v>45</v>
      </c>
      <c r="D72" s="21">
        <v>45</v>
      </c>
      <c r="E72" s="21">
        <v>47</v>
      </c>
      <c r="F72" s="21">
        <v>28</v>
      </c>
      <c r="G72" s="21">
        <v>45</v>
      </c>
      <c r="H72" s="21">
        <v>58</v>
      </c>
      <c r="I72" s="21">
        <v>47</v>
      </c>
      <c r="J72" s="21">
        <v>60</v>
      </c>
      <c r="K72" s="21">
        <v>103</v>
      </c>
      <c r="L72" s="21">
        <v>35</v>
      </c>
      <c r="M72" s="21">
        <v>20</v>
      </c>
      <c r="N72" s="150">
        <f>SUM(B72:M72)</f>
        <v>592</v>
      </c>
      <c r="O72" s="22">
        <f>IF(N72=0,0,AVERAGE(B72:M72))</f>
        <v>49.333333333333336</v>
      </c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s="9" customFormat="1" ht="15.75">
      <c r="A73" s="20" t="s">
        <v>20</v>
      </c>
      <c r="B73" s="21">
        <v>9</v>
      </c>
      <c r="C73" s="21">
        <v>11</v>
      </c>
      <c r="D73" s="21">
        <v>8</v>
      </c>
      <c r="E73" s="21">
        <v>3</v>
      </c>
      <c r="F73" s="21">
        <v>6</v>
      </c>
      <c r="G73" s="21">
        <v>7</v>
      </c>
      <c r="H73" s="21">
        <v>10</v>
      </c>
      <c r="I73" s="21">
        <v>15</v>
      </c>
      <c r="J73" s="21">
        <v>4</v>
      </c>
      <c r="K73" s="21">
        <v>4</v>
      </c>
      <c r="L73" s="21">
        <v>8</v>
      </c>
      <c r="M73" s="21">
        <v>8</v>
      </c>
      <c r="N73" s="150">
        <f>SUM(B73:M73)</f>
        <v>93</v>
      </c>
      <c r="O73" s="22">
        <f>IF(N73=0,0,AVERAGE(B73:M73))</f>
        <v>7.75</v>
      </c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s="9" customFormat="1" ht="15.75">
      <c r="A74" s="23" t="s">
        <v>21</v>
      </c>
      <c r="B74" s="24">
        <f t="shared" ref="B74:M74" si="44">IF(SUM(B71:B73)=0,"",SUM(B71:B73))</f>
        <v>157</v>
      </c>
      <c r="C74" s="24">
        <f t="shared" si="44"/>
        <v>148</v>
      </c>
      <c r="D74" s="24">
        <f t="shared" si="44"/>
        <v>124</v>
      </c>
      <c r="E74" s="24">
        <f t="shared" si="44"/>
        <v>77</v>
      </c>
      <c r="F74" s="24">
        <f t="shared" si="44"/>
        <v>49</v>
      </c>
      <c r="G74" s="24">
        <f t="shared" si="44"/>
        <v>66</v>
      </c>
      <c r="H74" s="24">
        <f t="shared" si="44"/>
        <v>99</v>
      </c>
      <c r="I74" s="24">
        <f t="shared" si="44"/>
        <v>158</v>
      </c>
      <c r="J74" s="24">
        <f t="shared" si="44"/>
        <v>142</v>
      </c>
      <c r="K74" s="24">
        <f t="shared" si="44"/>
        <v>195</v>
      </c>
      <c r="L74" s="24">
        <f t="shared" si="44"/>
        <v>213</v>
      </c>
      <c r="M74" s="24">
        <f t="shared" si="44"/>
        <v>193</v>
      </c>
      <c r="N74" s="144">
        <f>SUM(N71:N73)</f>
        <v>1621</v>
      </c>
      <c r="O74" s="25">
        <f>SUM(O71:O73)</f>
        <v>135.08333333333334</v>
      </c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s="9" customFormat="1" ht="15.75">
      <c r="A75" s="62" t="s">
        <v>740</v>
      </c>
      <c r="B75" s="390">
        <f t="shared" ref="B75:M75" si="45">IF(ISERR(B74/$B$1870),"",B74/B1870)</f>
        <v>5.064516129032258</v>
      </c>
      <c r="C75" s="390">
        <f t="shared" si="45"/>
        <v>5.2857142857142856</v>
      </c>
      <c r="D75" s="390">
        <f t="shared" si="45"/>
        <v>4</v>
      </c>
      <c r="E75" s="390">
        <f t="shared" si="45"/>
        <v>2.5666666666666669</v>
      </c>
      <c r="F75" s="390">
        <f t="shared" si="45"/>
        <v>1.5806451612903225</v>
      </c>
      <c r="G75" s="390">
        <f t="shared" si="45"/>
        <v>2.2000000000000002</v>
      </c>
      <c r="H75" s="390">
        <f t="shared" si="45"/>
        <v>3.193548387096774</v>
      </c>
      <c r="I75" s="390">
        <f t="shared" si="45"/>
        <v>5.096774193548387</v>
      </c>
      <c r="J75" s="390">
        <f t="shared" si="45"/>
        <v>4.7333333333333334</v>
      </c>
      <c r="K75" s="390">
        <f t="shared" si="45"/>
        <v>6.290322580645161</v>
      </c>
      <c r="L75" s="390">
        <f t="shared" si="45"/>
        <v>7.1</v>
      </c>
      <c r="M75" s="390">
        <f t="shared" si="45"/>
        <v>6.225806451612903</v>
      </c>
      <c r="N75" s="144">
        <f>SUM(B75:M75)</f>
        <v>53.337327188940094</v>
      </c>
      <c r="O75" s="25">
        <f>IF(N75=0,0,AVERAGE(B75:M75))</f>
        <v>4.4447772657450075</v>
      </c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s="9" customFormat="1">
      <c r="A76" s="26"/>
      <c r="B76" s="27"/>
      <c r="C76" s="27"/>
      <c r="D76" s="27"/>
      <c r="E76" s="28"/>
      <c r="F76" s="28"/>
      <c r="G76" s="28"/>
      <c r="H76" s="28"/>
      <c r="I76" s="28"/>
      <c r="J76" s="28"/>
      <c r="K76" s="28"/>
      <c r="L76" s="28"/>
      <c r="M76" s="28"/>
      <c r="N76" s="151"/>
      <c r="O76" s="16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s="9" customFormat="1" ht="15.75">
      <c r="A77" s="17" t="s">
        <v>48</v>
      </c>
      <c r="B77" s="30"/>
      <c r="C77" s="30"/>
      <c r="D77" s="30"/>
      <c r="E77" s="30"/>
      <c r="F77" s="302"/>
      <c r="G77" s="302"/>
      <c r="H77" s="302"/>
      <c r="I77" s="302"/>
      <c r="J77" s="302"/>
      <c r="K77" s="302"/>
      <c r="L77" s="302"/>
      <c r="M77" s="302"/>
      <c r="N77" s="152"/>
      <c r="O77" s="31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s="9" customFormat="1" ht="15.75">
      <c r="A78" s="32" t="s">
        <v>49</v>
      </c>
      <c r="B78" s="21">
        <v>3</v>
      </c>
      <c r="C78" s="21">
        <v>6</v>
      </c>
      <c r="D78" s="21">
        <v>5</v>
      </c>
      <c r="E78" s="300">
        <v>1</v>
      </c>
      <c r="F78" s="38">
        <v>1</v>
      </c>
      <c r="G78" s="38">
        <v>2</v>
      </c>
      <c r="H78" s="38">
        <v>3</v>
      </c>
      <c r="I78" s="38">
        <v>1</v>
      </c>
      <c r="J78" s="38">
        <v>1</v>
      </c>
      <c r="K78" s="38">
        <v>1</v>
      </c>
      <c r="L78" s="38">
        <v>6</v>
      </c>
      <c r="M78" s="38">
        <v>3</v>
      </c>
      <c r="N78" s="199">
        <f>SUM(B78:M78)</f>
        <v>33</v>
      </c>
      <c r="O78" s="22">
        <f>IF(N78=0,0,AVERAGE(B78:M78))</f>
        <v>2.75</v>
      </c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s="9" customFormat="1" ht="15.75">
      <c r="A79" s="32" t="s">
        <v>887</v>
      </c>
      <c r="B79" s="21">
        <v>0</v>
      </c>
      <c r="C79" s="21">
        <v>0</v>
      </c>
      <c r="D79" s="21">
        <v>0</v>
      </c>
      <c r="E79" s="300">
        <v>0</v>
      </c>
      <c r="F79" s="38">
        <v>0</v>
      </c>
      <c r="G79" s="38">
        <v>0</v>
      </c>
      <c r="H79" s="38">
        <v>0</v>
      </c>
      <c r="I79" s="38">
        <v>0</v>
      </c>
      <c r="J79" s="38">
        <v>1</v>
      </c>
      <c r="K79" s="38">
        <v>0</v>
      </c>
      <c r="L79" s="38">
        <v>0</v>
      </c>
      <c r="M79" s="38">
        <v>0</v>
      </c>
      <c r="N79" s="199">
        <f>SUM(B79:M79)</f>
        <v>1</v>
      </c>
      <c r="O79" s="22">
        <f>IF(N79=0,0,AVERAGE(B79:M79))</f>
        <v>8.3333333333333329E-2</v>
      </c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s="9" customFormat="1" ht="15.75">
      <c r="A80" s="32" t="s">
        <v>646</v>
      </c>
      <c r="B80" s="21">
        <v>1</v>
      </c>
      <c r="C80" s="21">
        <v>2</v>
      </c>
      <c r="D80" s="21">
        <v>0</v>
      </c>
      <c r="E80" s="300">
        <v>0</v>
      </c>
      <c r="F80" s="38">
        <v>0</v>
      </c>
      <c r="G80" s="38">
        <v>0</v>
      </c>
      <c r="H80" s="38">
        <v>1</v>
      </c>
      <c r="I80" s="38">
        <v>1</v>
      </c>
      <c r="J80" s="38">
        <v>1</v>
      </c>
      <c r="K80" s="38">
        <v>3</v>
      </c>
      <c r="L80" s="38">
        <v>1</v>
      </c>
      <c r="M80" s="38">
        <v>0</v>
      </c>
      <c r="N80" s="199">
        <f t="shared" ref="N80:N83" si="46">SUM(B80:M80)</f>
        <v>10</v>
      </c>
      <c r="O80" s="22">
        <f t="shared" ref="O80:O83" si="47">IF(N80=0,0,AVERAGE(B80:M80))</f>
        <v>0.83333333333333337</v>
      </c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s="9" customFormat="1" ht="15.75">
      <c r="A81" s="32" t="s">
        <v>905</v>
      </c>
      <c r="B81" s="21">
        <v>0</v>
      </c>
      <c r="C81" s="21">
        <v>0</v>
      </c>
      <c r="D81" s="21">
        <v>0</v>
      </c>
      <c r="E81" s="300">
        <v>0</v>
      </c>
      <c r="F81" s="38">
        <v>0</v>
      </c>
      <c r="G81" s="38">
        <v>0</v>
      </c>
      <c r="H81" s="38">
        <v>0</v>
      </c>
      <c r="I81" s="38">
        <v>0</v>
      </c>
      <c r="J81" s="38">
        <v>0</v>
      </c>
      <c r="K81" s="38">
        <v>0</v>
      </c>
      <c r="L81" s="38">
        <v>0</v>
      </c>
      <c r="M81" s="38">
        <v>1</v>
      </c>
      <c r="N81" s="199">
        <f t="shared" ref="N81" si="48">SUM(B81:M81)</f>
        <v>1</v>
      </c>
      <c r="O81" s="22">
        <f t="shared" ref="O81" si="49">IF(N81=0,0,AVERAGE(B81:M81))</f>
        <v>8.3333333333333329E-2</v>
      </c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s="9" customFormat="1" ht="15.75">
      <c r="A82" s="32" t="s">
        <v>649</v>
      </c>
      <c r="B82" s="21">
        <v>1</v>
      </c>
      <c r="C82" s="21">
        <v>4</v>
      </c>
      <c r="D82" s="21">
        <v>0</v>
      </c>
      <c r="E82" s="300">
        <v>0</v>
      </c>
      <c r="F82" s="38">
        <v>0</v>
      </c>
      <c r="G82" s="38">
        <v>0</v>
      </c>
      <c r="H82" s="38">
        <v>0</v>
      </c>
      <c r="I82" s="38">
        <v>0</v>
      </c>
      <c r="J82" s="38">
        <v>0</v>
      </c>
      <c r="K82" s="38">
        <v>1</v>
      </c>
      <c r="L82" s="38">
        <v>0</v>
      </c>
      <c r="M82" s="38">
        <v>0</v>
      </c>
      <c r="N82" s="199">
        <f>SUM(B82:M82)</f>
        <v>6</v>
      </c>
      <c r="O82" s="22">
        <f>IF(N82=0,0,AVERAGE(B82:M82))</f>
        <v>0.5</v>
      </c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s="9" customFormat="1" ht="15.75">
      <c r="A83" s="32" t="s">
        <v>50</v>
      </c>
      <c r="B83" s="21">
        <v>13</v>
      </c>
      <c r="C83" s="21">
        <v>5</v>
      </c>
      <c r="D83" s="21">
        <v>12</v>
      </c>
      <c r="E83" s="301">
        <v>13</v>
      </c>
      <c r="F83" s="38">
        <v>3</v>
      </c>
      <c r="G83" s="38">
        <v>5</v>
      </c>
      <c r="H83" s="38">
        <v>12</v>
      </c>
      <c r="I83" s="38">
        <v>19</v>
      </c>
      <c r="J83" s="38">
        <v>14</v>
      </c>
      <c r="K83" s="38">
        <v>18</v>
      </c>
      <c r="L83" s="38">
        <v>13</v>
      </c>
      <c r="M83" s="38">
        <v>18</v>
      </c>
      <c r="N83" s="199">
        <f t="shared" si="46"/>
        <v>145</v>
      </c>
      <c r="O83" s="22">
        <f t="shared" si="47"/>
        <v>12.083333333333334</v>
      </c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s="9" customFormat="1" ht="15.75">
      <c r="A84" s="32" t="s">
        <v>832</v>
      </c>
      <c r="B84" s="21">
        <v>0</v>
      </c>
      <c r="C84" s="21">
        <v>3</v>
      </c>
      <c r="D84" s="21">
        <v>0</v>
      </c>
      <c r="E84" s="301">
        <v>0</v>
      </c>
      <c r="F84" s="38">
        <v>0</v>
      </c>
      <c r="G84" s="38">
        <v>0</v>
      </c>
      <c r="H84" s="38">
        <v>0</v>
      </c>
      <c r="I84" s="38">
        <v>0</v>
      </c>
      <c r="J84" s="38">
        <v>1</v>
      </c>
      <c r="K84" s="38">
        <v>1</v>
      </c>
      <c r="L84" s="38">
        <v>1</v>
      </c>
      <c r="M84" s="38">
        <v>1</v>
      </c>
      <c r="N84" s="199">
        <f t="shared" ref="N84:N87" si="50">SUM(B84:M84)</f>
        <v>7</v>
      </c>
      <c r="O84" s="22">
        <f t="shared" ref="O84:O87" si="51">IF(N84=0,0,AVERAGE(B84:M84))</f>
        <v>0.58333333333333337</v>
      </c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s="9" customFormat="1" ht="15.75">
      <c r="A85" s="32" t="s">
        <v>873</v>
      </c>
      <c r="B85" s="21">
        <v>0</v>
      </c>
      <c r="C85" s="21">
        <v>0</v>
      </c>
      <c r="D85" s="21">
        <v>0</v>
      </c>
      <c r="E85" s="301">
        <v>0</v>
      </c>
      <c r="F85" s="38">
        <v>0</v>
      </c>
      <c r="G85" s="38">
        <v>0</v>
      </c>
      <c r="H85" s="38">
        <v>1</v>
      </c>
      <c r="I85" s="38">
        <v>1</v>
      </c>
      <c r="J85" s="38">
        <v>0</v>
      </c>
      <c r="K85" s="38">
        <v>0</v>
      </c>
      <c r="L85" s="38">
        <v>0</v>
      </c>
      <c r="M85" s="38">
        <v>0</v>
      </c>
      <c r="N85" s="199">
        <f t="shared" si="50"/>
        <v>2</v>
      </c>
      <c r="O85" s="22">
        <f t="shared" si="51"/>
        <v>0.16666666666666666</v>
      </c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s="9" customFormat="1" ht="15.75">
      <c r="A86" s="32" t="s">
        <v>855</v>
      </c>
      <c r="B86" s="21">
        <v>0</v>
      </c>
      <c r="C86" s="21">
        <v>0</v>
      </c>
      <c r="D86" s="21">
        <v>0</v>
      </c>
      <c r="E86" s="301">
        <v>1</v>
      </c>
      <c r="F86" s="38">
        <v>1</v>
      </c>
      <c r="G86" s="38">
        <v>1</v>
      </c>
      <c r="H86" s="38">
        <v>1</v>
      </c>
      <c r="I86" s="38">
        <v>1</v>
      </c>
      <c r="J86" s="38">
        <v>1</v>
      </c>
      <c r="K86" s="38">
        <v>0</v>
      </c>
      <c r="L86" s="38">
        <v>0</v>
      </c>
      <c r="M86" s="38">
        <v>0</v>
      </c>
      <c r="N86" s="199">
        <f t="shared" si="50"/>
        <v>6</v>
      </c>
      <c r="O86" s="22">
        <f t="shared" si="51"/>
        <v>0.5</v>
      </c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s="9" customFormat="1" ht="15.75">
      <c r="A87" s="32" t="s">
        <v>899</v>
      </c>
      <c r="B87" s="21">
        <v>0</v>
      </c>
      <c r="C87" s="21">
        <v>0</v>
      </c>
      <c r="D87" s="21">
        <v>0</v>
      </c>
      <c r="E87" s="301">
        <v>0</v>
      </c>
      <c r="F87" s="38">
        <v>0</v>
      </c>
      <c r="G87" s="38">
        <v>0</v>
      </c>
      <c r="H87" s="38">
        <v>0</v>
      </c>
      <c r="I87" s="38">
        <v>0</v>
      </c>
      <c r="J87" s="38">
        <v>0</v>
      </c>
      <c r="K87" s="38">
        <v>0</v>
      </c>
      <c r="L87" s="38">
        <v>2</v>
      </c>
      <c r="M87" s="38">
        <v>0</v>
      </c>
      <c r="N87" s="199">
        <f t="shared" si="50"/>
        <v>2</v>
      </c>
      <c r="O87" s="22">
        <f t="shared" si="51"/>
        <v>0.16666666666666666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s="9" customFormat="1" ht="15.75">
      <c r="A88" s="32" t="s">
        <v>305</v>
      </c>
      <c r="B88" s="21">
        <v>7</v>
      </c>
      <c r="C88" s="21">
        <v>4</v>
      </c>
      <c r="D88" s="21">
        <v>5</v>
      </c>
      <c r="E88" s="301">
        <v>2</v>
      </c>
      <c r="F88" s="38">
        <v>1</v>
      </c>
      <c r="G88" s="38">
        <v>9</v>
      </c>
      <c r="H88" s="38">
        <v>4</v>
      </c>
      <c r="I88" s="38">
        <v>6</v>
      </c>
      <c r="J88" s="38">
        <v>6</v>
      </c>
      <c r="K88" s="38">
        <v>8</v>
      </c>
      <c r="L88" s="38">
        <v>7</v>
      </c>
      <c r="M88" s="38">
        <v>6</v>
      </c>
      <c r="N88" s="199">
        <f t="shared" ref="N88:N136" si="52">SUM(B88:M88)</f>
        <v>65</v>
      </c>
      <c r="O88" s="22">
        <f t="shared" ref="O88:O136" si="53">IF(N88=0,0,AVERAGE(B88:M88))</f>
        <v>5.416666666666667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s="9" customFormat="1" ht="15.75">
      <c r="A89" s="32" t="s">
        <v>51</v>
      </c>
      <c r="B89" s="21">
        <v>80</v>
      </c>
      <c r="C89" s="21">
        <v>76</v>
      </c>
      <c r="D89" s="21">
        <v>57</v>
      </c>
      <c r="E89" s="301">
        <v>34</v>
      </c>
      <c r="F89" s="38">
        <v>32</v>
      </c>
      <c r="G89" s="38">
        <v>24</v>
      </c>
      <c r="H89" s="38">
        <v>43</v>
      </c>
      <c r="I89" s="38">
        <v>71</v>
      </c>
      <c r="J89" s="38">
        <v>64</v>
      </c>
      <c r="K89" s="38">
        <v>85</v>
      </c>
      <c r="L89" s="38">
        <v>91</v>
      </c>
      <c r="M89" s="38">
        <v>67</v>
      </c>
      <c r="N89" s="199">
        <f t="shared" si="52"/>
        <v>724</v>
      </c>
      <c r="O89" s="22">
        <f t="shared" si="53"/>
        <v>60.333333333333336</v>
      </c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s="9" customFormat="1" ht="15.75">
      <c r="A90" s="32" t="s">
        <v>52</v>
      </c>
      <c r="B90" s="21">
        <v>1</v>
      </c>
      <c r="C90" s="21">
        <v>1</v>
      </c>
      <c r="D90" s="21">
        <v>4</v>
      </c>
      <c r="E90" s="301">
        <v>1</v>
      </c>
      <c r="F90" s="38">
        <v>1</v>
      </c>
      <c r="G90" s="38">
        <v>3</v>
      </c>
      <c r="H90" s="38">
        <v>3</v>
      </c>
      <c r="I90" s="38">
        <v>0</v>
      </c>
      <c r="J90" s="38">
        <v>0</v>
      </c>
      <c r="K90" s="38">
        <v>2</v>
      </c>
      <c r="L90" s="38">
        <v>3</v>
      </c>
      <c r="M90" s="38">
        <v>2</v>
      </c>
      <c r="N90" s="199">
        <f t="shared" si="52"/>
        <v>21</v>
      </c>
      <c r="O90" s="22">
        <f t="shared" si="53"/>
        <v>1.75</v>
      </c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s="9" customFormat="1" ht="15.75">
      <c r="A91" s="32" t="s">
        <v>833</v>
      </c>
      <c r="B91" s="21">
        <v>0</v>
      </c>
      <c r="C91" s="21">
        <v>2</v>
      </c>
      <c r="D91" s="21">
        <v>0</v>
      </c>
      <c r="E91" s="301">
        <v>0</v>
      </c>
      <c r="F91" s="38">
        <v>0</v>
      </c>
      <c r="G91" s="38">
        <v>0</v>
      </c>
      <c r="H91" s="38">
        <v>0</v>
      </c>
      <c r="I91" s="38">
        <v>0</v>
      </c>
      <c r="J91" s="38">
        <v>0</v>
      </c>
      <c r="K91" s="38">
        <v>1</v>
      </c>
      <c r="L91" s="38">
        <v>1</v>
      </c>
      <c r="M91" s="38">
        <v>3</v>
      </c>
      <c r="N91" s="199">
        <f t="shared" si="52"/>
        <v>7</v>
      </c>
      <c r="O91" s="22">
        <f t="shared" si="53"/>
        <v>0.58333333333333337</v>
      </c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s="9" customFormat="1" ht="15.75">
      <c r="A92" s="32" t="s">
        <v>856</v>
      </c>
      <c r="B92" s="21">
        <v>0</v>
      </c>
      <c r="C92" s="21">
        <v>0</v>
      </c>
      <c r="D92" s="21">
        <v>0</v>
      </c>
      <c r="E92" s="301">
        <v>1</v>
      </c>
      <c r="F92" s="38">
        <v>0</v>
      </c>
      <c r="G92" s="38">
        <v>0</v>
      </c>
      <c r="H92" s="38">
        <v>0</v>
      </c>
      <c r="I92" s="38">
        <v>0</v>
      </c>
      <c r="J92" s="38">
        <v>0</v>
      </c>
      <c r="K92" s="38">
        <v>0</v>
      </c>
      <c r="L92" s="38">
        <v>0</v>
      </c>
      <c r="M92" s="38">
        <v>0</v>
      </c>
      <c r="N92" s="199">
        <f t="shared" si="52"/>
        <v>1</v>
      </c>
      <c r="O92" s="22">
        <f t="shared" si="53"/>
        <v>8.3333333333333329E-2</v>
      </c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s="9" customFormat="1" ht="15.75">
      <c r="A93" s="32" t="s">
        <v>53</v>
      </c>
      <c r="B93" s="21">
        <v>1</v>
      </c>
      <c r="C93" s="21">
        <v>2</v>
      </c>
      <c r="D93" s="21">
        <v>0</v>
      </c>
      <c r="E93" s="301">
        <v>1</v>
      </c>
      <c r="F93" s="38">
        <v>0</v>
      </c>
      <c r="G93" s="38">
        <v>2</v>
      </c>
      <c r="H93" s="321">
        <v>1</v>
      </c>
      <c r="I93" s="38">
        <v>2</v>
      </c>
      <c r="J93" s="38">
        <v>5</v>
      </c>
      <c r="K93" s="38">
        <v>0</v>
      </c>
      <c r="L93" s="38">
        <v>1</v>
      </c>
      <c r="M93" s="38">
        <v>1</v>
      </c>
      <c r="N93" s="199">
        <f t="shared" si="52"/>
        <v>16</v>
      </c>
      <c r="O93" s="22">
        <f t="shared" si="53"/>
        <v>1.3333333333333333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s="9" customFormat="1" ht="15.75">
      <c r="A94" s="32" t="s">
        <v>662</v>
      </c>
      <c r="B94" s="21">
        <v>1</v>
      </c>
      <c r="C94" s="21">
        <v>0</v>
      </c>
      <c r="D94" s="21">
        <v>0</v>
      </c>
      <c r="E94" s="301">
        <v>0</v>
      </c>
      <c r="F94" s="38">
        <v>0</v>
      </c>
      <c r="G94" s="38">
        <v>0</v>
      </c>
      <c r="H94" s="321">
        <v>0</v>
      </c>
      <c r="I94" s="38">
        <v>0</v>
      </c>
      <c r="J94" s="38">
        <v>0</v>
      </c>
      <c r="K94" s="38">
        <v>0</v>
      </c>
      <c r="L94" s="38">
        <v>1</v>
      </c>
      <c r="M94" s="38">
        <v>0</v>
      </c>
      <c r="N94" s="199">
        <f t="shared" ref="N94:N96" si="54">SUM(B94:M94)</f>
        <v>2</v>
      </c>
      <c r="O94" s="22">
        <f t="shared" ref="O94:O96" si="55">IF(N94=0,0,AVERAGE(B94:M94))</f>
        <v>0.16666666666666666</v>
      </c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s="9" customFormat="1" ht="15.75">
      <c r="A95" s="32" t="s">
        <v>847</v>
      </c>
      <c r="B95" s="21">
        <v>0</v>
      </c>
      <c r="C95" s="21">
        <v>0</v>
      </c>
      <c r="D95" s="21">
        <v>1</v>
      </c>
      <c r="E95" s="301">
        <v>0</v>
      </c>
      <c r="F95" s="38">
        <v>0</v>
      </c>
      <c r="G95" s="38">
        <v>0</v>
      </c>
      <c r="H95" s="321">
        <v>0</v>
      </c>
      <c r="I95" s="38">
        <v>2</v>
      </c>
      <c r="J95" s="38">
        <v>0</v>
      </c>
      <c r="K95" s="38">
        <v>2</v>
      </c>
      <c r="L95" s="38">
        <v>3</v>
      </c>
      <c r="M95" s="38">
        <v>1</v>
      </c>
      <c r="N95" s="199">
        <f t="shared" si="54"/>
        <v>9</v>
      </c>
      <c r="O95" s="22">
        <f t="shared" si="55"/>
        <v>0.75</v>
      </c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s="9" customFormat="1" ht="15.75">
      <c r="A96" s="32" t="s">
        <v>874</v>
      </c>
      <c r="B96" s="21">
        <v>0</v>
      </c>
      <c r="C96" s="21">
        <v>0</v>
      </c>
      <c r="D96" s="21">
        <v>0</v>
      </c>
      <c r="E96" s="301">
        <v>0</v>
      </c>
      <c r="F96" s="38">
        <v>0</v>
      </c>
      <c r="G96" s="38">
        <v>0</v>
      </c>
      <c r="H96" s="321">
        <v>1</v>
      </c>
      <c r="I96" s="38">
        <v>1</v>
      </c>
      <c r="J96" s="38">
        <v>0</v>
      </c>
      <c r="K96" s="38">
        <v>0</v>
      </c>
      <c r="L96" s="38">
        <v>0</v>
      </c>
      <c r="M96" s="38">
        <v>0</v>
      </c>
      <c r="N96" s="199">
        <f t="shared" si="54"/>
        <v>2</v>
      </c>
      <c r="O96" s="22">
        <f t="shared" si="55"/>
        <v>0.16666666666666666</v>
      </c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s="9" customFormat="1" ht="15.75">
      <c r="A97" s="32" t="s">
        <v>325</v>
      </c>
      <c r="B97" s="21">
        <v>1</v>
      </c>
      <c r="C97" s="21">
        <v>0</v>
      </c>
      <c r="D97" s="21">
        <v>0</v>
      </c>
      <c r="E97" s="301">
        <v>0</v>
      </c>
      <c r="F97" s="38">
        <v>0</v>
      </c>
      <c r="G97" s="38">
        <v>0</v>
      </c>
      <c r="H97" s="38">
        <v>0</v>
      </c>
      <c r="I97" s="38">
        <v>0</v>
      </c>
      <c r="J97" s="38">
        <v>0</v>
      </c>
      <c r="K97" s="38">
        <v>0</v>
      </c>
      <c r="L97" s="38">
        <v>1</v>
      </c>
      <c r="M97" s="38">
        <v>0</v>
      </c>
      <c r="N97" s="199">
        <f t="shared" si="52"/>
        <v>2</v>
      </c>
      <c r="O97" s="22">
        <f t="shared" si="53"/>
        <v>0.16666666666666666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s="9" customFormat="1" ht="15.75">
      <c r="A98" s="32" t="s">
        <v>742</v>
      </c>
      <c r="B98" s="21">
        <v>1</v>
      </c>
      <c r="C98" s="21">
        <v>1</v>
      </c>
      <c r="D98" s="21">
        <v>1</v>
      </c>
      <c r="E98" s="301">
        <v>1</v>
      </c>
      <c r="F98" s="38">
        <v>0</v>
      </c>
      <c r="G98" s="38">
        <v>0</v>
      </c>
      <c r="H98" s="38">
        <v>0</v>
      </c>
      <c r="I98" s="38">
        <v>1</v>
      </c>
      <c r="J98" s="38">
        <v>0</v>
      </c>
      <c r="K98" s="38">
        <v>0</v>
      </c>
      <c r="L98" s="38">
        <v>2</v>
      </c>
      <c r="M98" s="38">
        <v>0</v>
      </c>
      <c r="N98" s="199">
        <f t="shared" ref="N98" si="56">SUM(B98:M98)</f>
        <v>7</v>
      </c>
      <c r="O98" s="22">
        <f t="shared" ref="O98" si="57">IF(N98=0,0,AVERAGE(B98:M98))</f>
        <v>0.58333333333333337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s="9" customFormat="1" ht="15.75">
      <c r="A99" s="36" t="s">
        <v>306</v>
      </c>
      <c r="B99" s="21">
        <v>1</v>
      </c>
      <c r="C99" s="21">
        <v>0</v>
      </c>
      <c r="D99" s="21">
        <v>0</v>
      </c>
      <c r="E99" s="301">
        <v>0</v>
      </c>
      <c r="F99" s="38">
        <v>0</v>
      </c>
      <c r="G99" s="38">
        <v>0</v>
      </c>
      <c r="H99" s="38">
        <v>2</v>
      </c>
      <c r="I99" s="38">
        <v>0</v>
      </c>
      <c r="J99" s="38">
        <v>0</v>
      </c>
      <c r="K99" s="38">
        <v>2</v>
      </c>
      <c r="L99" s="38">
        <v>2</v>
      </c>
      <c r="M99" s="38">
        <v>3</v>
      </c>
      <c r="N99" s="199">
        <f t="shared" si="52"/>
        <v>10</v>
      </c>
      <c r="O99" s="22">
        <f t="shared" si="53"/>
        <v>0.83333333333333337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s="9" customFormat="1" ht="15.75">
      <c r="A100" s="36" t="s">
        <v>647</v>
      </c>
      <c r="B100" s="21">
        <v>1</v>
      </c>
      <c r="C100" s="21">
        <v>1</v>
      </c>
      <c r="D100" s="21">
        <v>0</v>
      </c>
      <c r="E100" s="301">
        <v>0</v>
      </c>
      <c r="F100" s="38">
        <v>0</v>
      </c>
      <c r="G100" s="38">
        <v>0</v>
      </c>
      <c r="H100" s="38">
        <v>0</v>
      </c>
      <c r="I100" s="38">
        <v>0</v>
      </c>
      <c r="J100" s="38">
        <v>1</v>
      </c>
      <c r="K100" s="38">
        <v>0</v>
      </c>
      <c r="L100" s="38">
        <v>0</v>
      </c>
      <c r="M100" s="38">
        <v>0</v>
      </c>
      <c r="N100" s="199">
        <f t="shared" si="52"/>
        <v>3</v>
      </c>
      <c r="O100" s="22">
        <f t="shared" si="53"/>
        <v>0.25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s="9" customFormat="1" ht="15.75">
      <c r="A101" s="36" t="s">
        <v>834</v>
      </c>
      <c r="B101" s="21">
        <v>0</v>
      </c>
      <c r="C101" s="21">
        <v>1</v>
      </c>
      <c r="D101" s="21">
        <v>2</v>
      </c>
      <c r="E101" s="301">
        <v>2</v>
      </c>
      <c r="F101" s="38">
        <v>0</v>
      </c>
      <c r="G101" s="38">
        <v>0</v>
      </c>
      <c r="H101" s="38">
        <v>1</v>
      </c>
      <c r="I101" s="38">
        <v>1</v>
      </c>
      <c r="J101" s="38">
        <v>0</v>
      </c>
      <c r="K101" s="38">
        <v>1</v>
      </c>
      <c r="L101" s="38">
        <v>3</v>
      </c>
      <c r="M101" s="38">
        <v>3</v>
      </c>
      <c r="N101" s="199">
        <f t="shared" si="52"/>
        <v>14</v>
      </c>
      <c r="O101" s="22">
        <f t="shared" si="53"/>
        <v>1.1666666666666667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s="9" customFormat="1" ht="15.75">
      <c r="A102" s="36" t="s">
        <v>313</v>
      </c>
      <c r="B102" s="21">
        <v>2</v>
      </c>
      <c r="C102" s="21">
        <v>3</v>
      </c>
      <c r="D102" s="21">
        <v>0</v>
      </c>
      <c r="E102" s="301">
        <v>0</v>
      </c>
      <c r="F102" s="38">
        <v>1</v>
      </c>
      <c r="G102" s="38">
        <v>1</v>
      </c>
      <c r="H102" s="38">
        <v>0</v>
      </c>
      <c r="I102" s="38">
        <v>0</v>
      </c>
      <c r="J102" s="38">
        <v>1</v>
      </c>
      <c r="K102" s="38">
        <v>1</v>
      </c>
      <c r="L102" s="38">
        <v>2</v>
      </c>
      <c r="M102" s="38">
        <v>1</v>
      </c>
      <c r="N102" s="199">
        <f t="shared" si="52"/>
        <v>12</v>
      </c>
      <c r="O102" s="22">
        <f t="shared" si="53"/>
        <v>1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s="9" customFormat="1" ht="15.75">
      <c r="A103" s="36" t="s">
        <v>54</v>
      </c>
      <c r="B103" s="21">
        <v>3</v>
      </c>
      <c r="C103" s="21">
        <v>3</v>
      </c>
      <c r="D103" s="21">
        <v>0</v>
      </c>
      <c r="E103" s="301">
        <v>1</v>
      </c>
      <c r="F103" s="38">
        <v>0</v>
      </c>
      <c r="G103" s="38">
        <v>1</v>
      </c>
      <c r="H103" s="38">
        <v>1</v>
      </c>
      <c r="I103" s="38">
        <v>0</v>
      </c>
      <c r="J103" s="38">
        <v>4</v>
      </c>
      <c r="K103" s="38">
        <v>3</v>
      </c>
      <c r="L103" s="38">
        <v>3</v>
      </c>
      <c r="M103" s="38">
        <v>3</v>
      </c>
      <c r="N103" s="199">
        <f t="shared" si="52"/>
        <v>22</v>
      </c>
      <c r="O103" s="22">
        <f t="shared" si="53"/>
        <v>1.8333333333333333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s="9" customFormat="1" ht="15.75">
      <c r="A104" s="36" t="s">
        <v>650</v>
      </c>
      <c r="B104" s="21">
        <v>2</v>
      </c>
      <c r="C104" s="21">
        <v>1</v>
      </c>
      <c r="D104" s="21">
        <v>2</v>
      </c>
      <c r="E104" s="301">
        <v>0</v>
      </c>
      <c r="F104" s="38">
        <v>0</v>
      </c>
      <c r="G104" s="38">
        <v>0</v>
      </c>
      <c r="H104" s="38">
        <v>0</v>
      </c>
      <c r="I104" s="38">
        <v>1</v>
      </c>
      <c r="J104" s="38">
        <v>0</v>
      </c>
      <c r="K104" s="38">
        <v>1</v>
      </c>
      <c r="L104" s="38">
        <v>2</v>
      </c>
      <c r="M104" s="38">
        <v>3</v>
      </c>
      <c r="N104" s="199">
        <f t="shared" si="52"/>
        <v>12</v>
      </c>
      <c r="O104" s="22">
        <f t="shared" si="53"/>
        <v>1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s="9" customFormat="1" ht="15.75">
      <c r="A105" s="36" t="s">
        <v>848</v>
      </c>
      <c r="B105" s="21">
        <v>0</v>
      </c>
      <c r="C105" s="21">
        <v>0</v>
      </c>
      <c r="D105" s="21">
        <v>1</v>
      </c>
      <c r="E105" s="301">
        <v>1</v>
      </c>
      <c r="F105" s="38">
        <v>0</v>
      </c>
      <c r="G105" s="38">
        <v>0</v>
      </c>
      <c r="H105" s="38">
        <v>0</v>
      </c>
      <c r="I105" s="38">
        <v>0</v>
      </c>
      <c r="J105" s="38">
        <v>0</v>
      </c>
      <c r="K105" s="38">
        <v>0</v>
      </c>
      <c r="L105" s="38">
        <v>1</v>
      </c>
      <c r="M105" s="38">
        <v>0</v>
      </c>
      <c r="N105" s="199">
        <f t="shared" si="52"/>
        <v>3</v>
      </c>
      <c r="O105" s="22">
        <f t="shared" si="53"/>
        <v>0.25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s="9" customFormat="1" ht="15.75">
      <c r="A106" s="36" t="s">
        <v>875</v>
      </c>
      <c r="B106" s="21">
        <v>0</v>
      </c>
      <c r="C106" s="21">
        <v>0</v>
      </c>
      <c r="D106" s="21">
        <v>0</v>
      </c>
      <c r="E106" s="301">
        <v>0</v>
      </c>
      <c r="F106" s="38">
        <v>0</v>
      </c>
      <c r="G106" s="38">
        <v>0</v>
      </c>
      <c r="H106" s="38">
        <v>1</v>
      </c>
      <c r="I106" s="38">
        <v>0</v>
      </c>
      <c r="J106" s="38">
        <v>0</v>
      </c>
      <c r="K106" s="38">
        <v>3</v>
      </c>
      <c r="L106" s="38">
        <v>2</v>
      </c>
      <c r="M106" s="38">
        <v>2</v>
      </c>
      <c r="N106" s="199">
        <f t="shared" si="52"/>
        <v>8</v>
      </c>
      <c r="O106" s="22">
        <f t="shared" si="53"/>
        <v>0.66666666666666663</v>
      </c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s="9" customFormat="1" ht="15.75">
      <c r="A107" s="36" t="s">
        <v>835</v>
      </c>
      <c r="B107" s="21">
        <v>0</v>
      </c>
      <c r="C107" s="21">
        <v>1</v>
      </c>
      <c r="D107" s="21">
        <v>1</v>
      </c>
      <c r="E107" s="301">
        <v>0</v>
      </c>
      <c r="F107" s="38">
        <v>0</v>
      </c>
      <c r="G107" s="38">
        <v>0</v>
      </c>
      <c r="H107" s="38">
        <v>0</v>
      </c>
      <c r="I107" s="38">
        <v>0</v>
      </c>
      <c r="J107" s="38">
        <v>0</v>
      </c>
      <c r="K107" s="38">
        <v>1</v>
      </c>
      <c r="L107" s="38">
        <v>1</v>
      </c>
      <c r="M107" s="38">
        <v>0</v>
      </c>
      <c r="N107" s="199">
        <f t="shared" si="52"/>
        <v>4</v>
      </c>
      <c r="O107" s="22">
        <f t="shared" si="53"/>
        <v>0.33333333333333331</v>
      </c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s="9" customFormat="1" ht="15.75">
      <c r="A108" s="36" t="s">
        <v>648</v>
      </c>
      <c r="B108" s="21">
        <v>1</v>
      </c>
      <c r="C108" s="21">
        <v>2</v>
      </c>
      <c r="D108" s="21">
        <v>4</v>
      </c>
      <c r="E108" s="301">
        <v>2</v>
      </c>
      <c r="F108" s="38">
        <v>0</v>
      </c>
      <c r="G108" s="38">
        <v>1</v>
      </c>
      <c r="H108" s="321">
        <v>1</v>
      </c>
      <c r="I108" s="38">
        <v>4</v>
      </c>
      <c r="J108" s="38">
        <v>1</v>
      </c>
      <c r="K108" s="38">
        <v>4</v>
      </c>
      <c r="L108" s="38">
        <v>4</v>
      </c>
      <c r="M108" s="38">
        <v>4</v>
      </c>
      <c r="N108" s="199">
        <f t="shared" si="52"/>
        <v>28</v>
      </c>
      <c r="O108" s="22">
        <f t="shared" si="53"/>
        <v>2.3333333333333335</v>
      </c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s="9" customFormat="1" ht="15.75">
      <c r="A109" s="36" t="s">
        <v>319</v>
      </c>
      <c r="B109" s="21">
        <v>1</v>
      </c>
      <c r="C109" s="21">
        <v>0</v>
      </c>
      <c r="D109" s="21">
        <v>0</v>
      </c>
      <c r="E109" s="301">
        <v>0</v>
      </c>
      <c r="F109" s="38">
        <v>0</v>
      </c>
      <c r="G109" s="38">
        <v>0</v>
      </c>
      <c r="H109" s="321">
        <v>0</v>
      </c>
      <c r="I109" s="38">
        <v>0</v>
      </c>
      <c r="J109" s="38">
        <v>0</v>
      </c>
      <c r="K109" s="38">
        <v>1</v>
      </c>
      <c r="L109" s="38">
        <v>0</v>
      </c>
      <c r="M109" s="38">
        <v>1</v>
      </c>
      <c r="N109" s="199">
        <f t="shared" si="52"/>
        <v>3</v>
      </c>
      <c r="O109" s="22">
        <f t="shared" si="53"/>
        <v>0.25</v>
      </c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s="9" customFormat="1" ht="15.75">
      <c r="A110" s="36" t="s">
        <v>836</v>
      </c>
      <c r="B110" s="21">
        <v>0</v>
      </c>
      <c r="C110" s="21">
        <v>1</v>
      </c>
      <c r="D110" s="21">
        <v>0</v>
      </c>
      <c r="E110" s="301">
        <v>0</v>
      </c>
      <c r="F110" s="38">
        <v>0</v>
      </c>
      <c r="G110" s="38">
        <v>0</v>
      </c>
      <c r="H110" s="321">
        <v>0</v>
      </c>
      <c r="I110" s="38">
        <v>0</v>
      </c>
      <c r="J110" s="38">
        <v>0</v>
      </c>
      <c r="K110" s="38">
        <v>0</v>
      </c>
      <c r="L110" s="38">
        <v>0</v>
      </c>
      <c r="M110" s="38">
        <v>0</v>
      </c>
      <c r="N110" s="199">
        <f t="shared" si="52"/>
        <v>1</v>
      </c>
      <c r="O110" s="22">
        <f t="shared" si="53"/>
        <v>8.3333333333333329E-2</v>
      </c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s="9" customFormat="1" ht="15.75">
      <c r="A111" s="36" t="s">
        <v>837</v>
      </c>
      <c r="B111" s="21">
        <v>0</v>
      </c>
      <c r="C111" s="21">
        <v>1</v>
      </c>
      <c r="D111" s="21">
        <v>0</v>
      </c>
      <c r="E111" s="301">
        <v>0</v>
      </c>
      <c r="F111" s="38">
        <v>0</v>
      </c>
      <c r="G111" s="38">
        <v>0</v>
      </c>
      <c r="H111" s="321">
        <v>1</v>
      </c>
      <c r="I111" s="38">
        <v>1</v>
      </c>
      <c r="J111" s="38">
        <v>3</v>
      </c>
      <c r="K111" s="38">
        <v>1</v>
      </c>
      <c r="L111" s="38">
        <v>1</v>
      </c>
      <c r="M111" s="38">
        <v>2</v>
      </c>
      <c r="N111" s="199">
        <f t="shared" si="52"/>
        <v>10</v>
      </c>
      <c r="O111" s="22">
        <f t="shared" si="53"/>
        <v>0.83333333333333337</v>
      </c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s="9" customFormat="1" ht="15.75">
      <c r="A112" s="36" t="s">
        <v>883</v>
      </c>
      <c r="B112" s="21">
        <v>0</v>
      </c>
      <c r="C112" s="21">
        <v>0</v>
      </c>
      <c r="D112" s="21">
        <v>0</v>
      </c>
      <c r="E112" s="301">
        <v>0</v>
      </c>
      <c r="F112" s="38">
        <v>0</v>
      </c>
      <c r="G112" s="38">
        <v>0</v>
      </c>
      <c r="H112" s="321">
        <v>0</v>
      </c>
      <c r="I112" s="38">
        <v>1</v>
      </c>
      <c r="J112" s="38">
        <v>0</v>
      </c>
      <c r="K112" s="38">
        <v>0</v>
      </c>
      <c r="L112" s="38">
        <v>0</v>
      </c>
      <c r="M112" s="38">
        <v>0</v>
      </c>
      <c r="N112" s="199">
        <f t="shared" si="52"/>
        <v>1</v>
      </c>
      <c r="O112" s="22">
        <f t="shared" si="53"/>
        <v>8.3333333333333329E-2</v>
      </c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s="9" customFormat="1" ht="15.75">
      <c r="A113" s="36" t="s">
        <v>55</v>
      </c>
      <c r="B113" s="21">
        <v>6</v>
      </c>
      <c r="C113" s="21">
        <v>2</v>
      </c>
      <c r="D113" s="21">
        <v>3</v>
      </c>
      <c r="E113" s="301">
        <v>0</v>
      </c>
      <c r="F113" s="38">
        <v>0</v>
      </c>
      <c r="G113" s="38">
        <v>0</v>
      </c>
      <c r="H113" s="321">
        <v>1</v>
      </c>
      <c r="I113" s="38">
        <v>1</v>
      </c>
      <c r="J113" s="38">
        <v>1</v>
      </c>
      <c r="K113" s="38">
        <v>4</v>
      </c>
      <c r="L113" s="38">
        <v>1</v>
      </c>
      <c r="M113" s="38">
        <v>4</v>
      </c>
      <c r="N113" s="199">
        <f t="shared" si="52"/>
        <v>23</v>
      </c>
      <c r="O113" s="22">
        <f t="shared" si="53"/>
        <v>1.9166666666666667</v>
      </c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s="9" customFormat="1" ht="15.75">
      <c r="A114" s="36" t="s">
        <v>849</v>
      </c>
      <c r="B114" s="21">
        <v>0</v>
      </c>
      <c r="C114" s="21">
        <v>0</v>
      </c>
      <c r="D114" s="21">
        <v>1</v>
      </c>
      <c r="E114" s="301">
        <v>0</v>
      </c>
      <c r="F114" s="38">
        <v>1</v>
      </c>
      <c r="G114" s="38">
        <v>0</v>
      </c>
      <c r="H114" s="321">
        <v>1</v>
      </c>
      <c r="I114" s="38">
        <v>2</v>
      </c>
      <c r="J114" s="38">
        <v>2</v>
      </c>
      <c r="K114" s="38">
        <v>1</v>
      </c>
      <c r="L114" s="38">
        <v>1</v>
      </c>
      <c r="M114" s="38">
        <v>0</v>
      </c>
      <c r="N114" s="199">
        <f t="shared" si="52"/>
        <v>9</v>
      </c>
      <c r="O114" s="22">
        <f t="shared" si="53"/>
        <v>0.75</v>
      </c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s="9" customFormat="1" ht="15.75">
      <c r="A115" s="36" t="s">
        <v>658</v>
      </c>
      <c r="B115" s="21">
        <v>2</v>
      </c>
      <c r="C115" s="21">
        <v>0</v>
      </c>
      <c r="D115" s="21">
        <v>0</v>
      </c>
      <c r="E115" s="301">
        <v>0</v>
      </c>
      <c r="F115" s="38">
        <v>0</v>
      </c>
      <c r="G115" s="38">
        <v>0</v>
      </c>
      <c r="H115" s="321">
        <v>0</v>
      </c>
      <c r="I115" s="38">
        <v>2</v>
      </c>
      <c r="J115" s="38">
        <v>0</v>
      </c>
      <c r="K115" s="38">
        <v>0</v>
      </c>
      <c r="L115" s="38">
        <v>2</v>
      </c>
      <c r="M115" s="38">
        <v>1</v>
      </c>
      <c r="N115" s="199">
        <f t="shared" ref="N115:N116" si="58">SUM(B115:M115)</f>
        <v>7</v>
      </c>
      <c r="O115" s="22">
        <f t="shared" ref="O115:O116" si="59">IF(N115=0,0,AVERAGE(B115:M115))</f>
        <v>0.58333333333333337</v>
      </c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s="9" customFormat="1" ht="15.75">
      <c r="A116" s="36" t="s">
        <v>838</v>
      </c>
      <c r="B116" s="21">
        <v>0</v>
      </c>
      <c r="C116" s="21">
        <v>2</v>
      </c>
      <c r="D116" s="21">
        <v>1</v>
      </c>
      <c r="E116" s="301">
        <v>0</v>
      </c>
      <c r="F116" s="38">
        <v>0</v>
      </c>
      <c r="G116" s="38">
        <v>0</v>
      </c>
      <c r="H116" s="321">
        <v>0</v>
      </c>
      <c r="I116" s="38">
        <v>0</v>
      </c>
      <c r="J116" s="38">
        <v>0</v>
      </c>
      <c r="K116" s="38">
        <v>0</v>
      </c>
      <c r="L116" s="38">
        <v>1</v>
      </c>
      <c r="M116" s="38">
        <v>0</v>
      </c>
      <c r="N116" s="199">
        <f t="shared" si="58"/>
        <v>4</v>
      </c>
      <c r="O116" s="22">
        <f t="shared" si="59"/>
        <v>0.33333333333333331</v>
      </c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s="9" customFormat="1" ht="15.75">
      <c r="A117" s="36" t="s">
        <v>314</v>
      </c>
      <c r="B117" s="21">
        <v>1</v>
      </c>
      <c r="C117" s="21">
        <v>0</v>
      </c>
      <c r="D117" s="21">
        <v>2</v>
      </c>
      <c r="E117" s="301">
        <v>0</v>
      </c>
      <c r="F117" s="38">
        <v>0</v>
      </c>
      <c r="G117" s="38">
        <v>0</v>
      </c>
      <c r="H117" s="321">
        <v>0</v>
      </c>
      <c r="I117" s="38">
        <v>1</v>
      </c>
      <c r="J117" s="38">
        <v>0</v>
      </c>
      <c r="K117" s="38">
        <v>2</v>
      </c>
      <c r="L117" s="38">
        <v>0</v>
      </c>
      <c r="M117" s="38">
        <v>2</v>
      </c>
      <c r="N117" s="199">
        <f t="shared" si="52"/>
        <v>8</v>
      </c>
      <c r="O117" s="22">
        <f t="shared" si="53"/>
        <v>0.66666666666666663</v>
      </c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s="9" customFormat="1" ht="15.75">
      <c r="A118" s="36" t="s">
        <v>894</v>
      </c>
      <c r="B118" s="21">
        <v>0</v>
      </c>
      <c r="C118" s="21">
        <v>0</v>
      </c>
      <c r="D118" s="21">
        <v>0</v>
      </c>
      <c r="E118" s="301">
        <v>0</v>
      </c>
      <c r="F118" s="38">
        <v>0</v>
      </c>
      <c r="G118" s="38">
        <v>0</v>
      </c>
      <c r="H118" s="321">
        <v>0</v>
      </c>
      <c r="I118" s="38">
        <v>0</v>
      </c>
      <c r="J118" s="38">
        <v>0</v>
      </c>
      <c r="K118" s="38">
        <v>2</v>
      </c>
      <c r="L118" s="38">
        <v>0</v>
      </c>
      <c r="M118" s="38">
        <v>1</v>
      </c>
      <c r="N118" s="199">
        <f t="shared" si="52"/>
        <v>3</v>
      </c>
      <c r="O118" s="22">
        <f t="shared" si="53"/>
        <v>0.25</v>
      </c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s="9" customFormat="1" ht="15.75">
      <c r="A119" s="36" t="s">
        <v>651</v>
      </c>
      <c r="B119" s="21">
        <v>1</v>
      </c>
      <c r="C119" s="21">
        <v>1</v>
      </c>
      <c r="D119" s="21">
        <v>0</v>
      </c>
      <c r="E119" s="301">
        <v>0</v>
      </c>
      <c r="F119" s="38">
        <v>0</v>
      </c>
      <c r="G119" s="38">
        <v>0</v>
      </c>
      <c r="H119" s="321">
        <v>0</v>
      </c>
      <c r="I119" s="38">
        <v>0</v>
      </c>
      <c r="J119" s="38">
        <v>0</v>
      </c>
      <c r="K119" s="38">
        <v>1</v>
      </c>
      <c r="L119" s="38">
        <v>1</v>
      </c>
      <c r="M119" s="38">
        <v>1</v>
      </c>
      <c r="N119" s="199">
        <f t="shared" si="52"/>
        <v>5</v>
      </c>
      <c r="O119" s="22">
        <f t="shared" si="53"/>
        <v>0.41666666666666669</v>
      </c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s="9" customFormat="1" ht="15.75">
      <c r="A120" s="36" t="s">
        <v>56</v>
      </c>
      <c r="B120" s="21">
        <v>1</v>
      </c>
      <c r="C120" s="21">
        <v>0</v>
      </c>
      <c r="D120" s="21">
        <v>1</v>
      </c>
      <c r="E120" s="301">
        <v>0</v>
      </c>
      <c r="F120" s="38">
        <v>0</v>
      </c>
      <c r="G120" s="38">
        <v>0</v>
      </c>
      <c r="H120" s="321">
        <v>0</v>
      </c>
      <c r="I120" s="38">
        <v>0</v>
      </c>
      <c r="J120" s="38">
        <v>1</v>
      </c>
      <c r="K120" s="38">
        <v>0</v>
      </c>
      <c r="L120" s="38">
        <v>0</v>
      </c>
      <c r="M120" s="38">
        <v>2</v>
      </c>
      <c r="N120" s="199">
        <f t="shared" si="52"/>
        <v>5</v>
      </c>
      <c r="O120" s="22">
        <f t="shared" si="53"/>
        <v>0.41666666666666669</v>
      </c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s="9" customFormat="1" ht="15.75">
      <c r="A121" s="36" t="s">
        <v>876</v>
      </c>
      <c r="B121" s="21">
        <v>0</v>
      </c>
      <c r="C121" s="21">
        <v>0</v>
      </c>
      <c r="D121" s="21">
        <v>0</v>
      </c>
      <c r="E121" s="301">
        <v>0</v>
      </c>
      <c r="F121" s="38">
        <v>0</v>
      </c>
      <c r="G121" s="38">
        <v>0</v>
      </c>
      <c r="H121" s="321">
        <v>1</v>
      </c>
      <c r="I121" s="38">
        <v>1</v>
      </c>
      <c r="J121" s="38">
        <v>0</v>
      </c>
      <c r="K121" s="38">
        <v>0</v>
      </c>
      <c r="L121" s="38">
        <v>1</v>
      </c>
      <c r="M121" s="38">
        <v>1</v>
      </c>
      <c r="N121" s="199">
        <f t="shared" si="52"/>
        <v>4</v>
      </c>
      <c r="O121" s="22">
        <f t="shared" si="53"/>
        <v>0.33333333333333331</v>
      </c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s="9" customFormat="1" ht="15.75">
      <c r="A122" s="36" t="s">
        <v>857</v>
      </c>
      <c r="B122" s="21">
        <v>0</v>
      </c>
      <c r="C122" s="21">
        <v>0</v>
      </c>
      <c r="D122" s="21">
        <v>0</v>
      </c>
      <c r="E122" s="301">
        <v>1</v>
      </c>
      <c r="F122" s="38">
        <v>0</v>
      </c>
      <c r="G122" s="38">
        <v>0</v>
      </c>
      <c r="H122" s="321">
        <v>0</v>
      </c>
      <c r="I122" s="38">
        <v>1</v>
      </c>
      <c r="J122" s="38">
        <v>0</v>
      </c>
      <c r="K122" s="38">
        <v>0</v>
      </c>
      <c r="L122" s="38">
        <v>0</v>
      </c>
      <c r="M122" s="38">
        <v>0</v>
      </c>
      <c r="N122" s="199">
        <f t="shared" si="52"/>
        <v>2</v>
      </c>
      <c r="O122" s="22">
        <f t="shared" si="53"/>
        <v>0.16666666666666666</v>
      </c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s="9" customFormat="1" ht="15.75">
      <c r="A123" s="36" t="s">
        <v>326</v>
      </c>
      <c r="B123" s="21">
        <v>2</v>
      </c>
      <c r="C123" s="21">
        <v>0</v>
      </c>
      <c r="D123" s="21">
        <v>1</v>
      </c>
      <c r="E123" s="301">
        <v>0</v>
      </c>
      <c r="F123" s="38">
        <v>0</v>
      </c>
      <c r="G123" s="38">
        <v>1</v>
      </c>
      <c r="H123" s="321">
        <v>0</v>
      </c>
      <c r="I123" s="38">
        <v>0</v>
      </c>
      <c r="J123" s="38">
        <v>2</v>
      </c>
      <c r="K123" s="38">
        <v>0</v>
      </c>
      <c r="L123" s="38">
        <v>0</v>
      </c>
      <c r="M123" s="38">
        <v>0</v>
      </c>
      <c r="N123" s="199">
        <f t="shared" si="52"/>
        <v>6</v>
      </c>
      <c r="O123" s="22">
        <f t="shared" si="53"/>
        <v>0.5</v>
      </c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s="9" customFormat="1" ht="15.75">
      <c r="A124" s="36" t="s">
        <v>57</v>
      </c>
      <c r="B124" s="21">
        <v>2</v>
      </c>
      <c r="C124" s="21">
        <v>2</v>
      </c>
      <c r="D124" s="21">
        <v>3</v>
      </c>
      <c r="E124" s="301">
        <v>1</v>
      </c>
      <c r="F124" s="38">
        <v>1</v>
      </c>
      <c r="G124" s="38">
        <v>1</v>
      </c>
      <c r="H124" s="321">
        <v>2</v>
      </c>
      <c r="I124" s="38">
        <v>5</v>
      </c>
      <c r="J124" s="38">
        <v>5</v>
      </c>
      <c r="K124" s="38">
        <v>6</v>
      </c>
      <c r="L124" s="38">
        <v>6</v>
      </c>
      <c r="M124" s="38">
        <v>6</v>
      </c>
      <c r="N124" s="199">
        <f t="shared" si="52"/>
        <v>40</v>
      </c>
      <c r="O124" s="22">
        <f t="shared" si="53"/>
        <v>3.3333333333333335</v>
      </c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s="9" customFormat="1" ht="15.75">
      <c r="A125" s="36" t="s">
        <v>741</v>
      </c>
      <c r="B125" s="21">
        <v>1</v>
      </c>
      <c r="C125" s="21">
        <v>1</v>
      </c>
      <c r="D125" s="21">
        <v>1</v>
      </c>
      <c r="E125" s="301">
        <v>0</v>
      </c>
      <c r="F125" s="38">
        <v>0</v>
      </c>
      <c r="G125" s="38">
        <v>0</v>
      </c>
      <c r="H125" s="321">
        <v>0</v>
      </c>
      <c r="I125" s="38">
        <v>0</v>
      </c>
      <c r="J125" s="38">
        <v>0</v>
      </c>
      <c r="K125" s="38">
        <v>0</v>
      </c>
      <c r="L125" s="38">
        <v>0</v>
      </c>
      <c r="M125" s="38">
        <v>0</v>
      </c>
      <c r="N125" s="199">
        <f t="shared" si="52"/>
        <v>3</v>
      </c>
      <c r="O125" s="22">
        <f t="shared" si="53"/>
        <v>0.25</v>
      </c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s="9" customFormat="1" ht="15.75">
      <c r="A126" s="36" t="s">
        <v>895</v>
      </c>
      <c r="B126" s="21">
        <v>0</v>
      </c>
      <c r="C126" s="21">
        <v>0</v>
      </c>
      <c r="D126" s="21">
        <v>0</v>
      </c>
      <c r="E126" s="301">
        <v>0</v>
      </c>
      <c r="F126" s="38">
        <v>0</v>
      </c>
      <c r="G126" s="38">
        <v>0</v>
      </c>
      <c r="H126" s="321">
        <v>0</v>
      </c>
      <c r="I126" s="38">
        <v>0</v>
      </c>
      <c r="J126" s="38">
        <v>0</v>
      </c>
      <c r="K126" s="38">
        <v>1</v>
      </c>
      <c r="L126" s="38">
        <v>0</v>
      </c>
      <c r="M126" s="38">
        <v>1</v>
      </c>
      <c r="N126" s="199">
        <f t="shared" si="52"/>
        <v>2</v>
      </c>
      <c r="O126" s="22">
        <f t="shared" si="53"/>
        <v>0.16666666666666666</v>
      </c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s="9" customFormat="1" ht="15.75">
      <c r="A127" s="36" t="s">
        <v>307</v>
      </c>
      <c r="B127" s="21">
        <v>3</v>
      </c>
      <c r="C127" s="21">
        <v>2</v>
      </c>
      <c r="D127" s="21">
        <v>1</v>
      </c>
      <c r="E127" s="301">
        <v>0</v>
      </c>
      <c r="F127" s="38">
        <v>0</v>
      </c>
      <c r="G127" s="38">
        <v>0</v>
      </c>
      <c r="H127" s="321">
        <v>0</v>
      </c>
      <c r="I127" s="38">
        <v>1</v>
      </c>
      <c r="J127" s="38">
        <v>0</v>
      </c>
      <c r="K127" s="38">
        <v>3</v>
      </c>
      <c r="L127" s="38">
        <v>3</v>
      </c>
      <c r="M127" s="38">
        <v>2</v>
      </c>
      <c r="N127" s="199">
        <f t="shared" si="52"/>
        <v>15</v>
      </c>
      <c r="O127" s="22">
        <f t="shared" si="53"/>
        <v>1.25</v>
      </c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s="9" customFormat="1" ht="15.75">
      <c r="A128" s="36" t="s">
        <v>896</v>
      </c>
      <c r="B128" s="21">
        <v>0</v>
      </c>
      <c r="C128" s="21">
        <v>0</v>
      </c>
      <c r="D128" s="21">
        <v>0</v>
      </c>
      <c r="E128" s="301">
        <v>0</v>
      </c>
      <c r="F128" s="38">
        <v>0</v>
      </c>
      <c r="G128" s="38">
        <v>0</v>
      </c>
      <c r="H128" s="321">
        <v>0</v>
      </c>
      <c r="I128" s="38">
        <v>0</v>
      </c>
      <c r="J128" s="38">
        <v>0</v>
      </c>
      <c r="K128" s="38">
        <v>1</v>
      </c>
      <c r="L128" s="38">
        <v>0</v>
      </c>
      <c r="M128" s="38">
        <v>0</v>
      </c>
      <c r="N128" s="199">
        <f t="shared" si="52"/>
        <v>1</v>
      </c>
      <c r="O128" s="22">
        <f t="shared" si="53"/>
        <v>8.3333333333333329E-2</v>
      </c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s="9" customFormat="1" ht="15.75">
      <c r="A129" s="36" t="s">
        <v>884</v>
      </c>
      <c r="B129" s="21">
        <v>0</v>
      </c>
      <c r="C129" s="21">
        <v>0</v>
      </c>
      <c r="D129" s="21">
        <v>0</v>
      </c>
      <c r="E129" s="301">
        <v>0</v>
      </c>
      <c r="F129" s="38">
        <v>0</v>
      </c>
      <c r="G129" s="38">
        <v>0</v>
      </c>
      <c r="H129" s="321">
        <v>0</v>
      </c>
      <c r="I129" s="38">
        <v>1</v>
      </c>
      <c r="J129" s="38">
        <v>0</v>
      </c>
      <c r="K129" s="38">
        <v>0</v>
      </c>
      <c r="L129" s="38">
        <v>0</v>
      </c>
      <c r="M129" s="38">
        <v>0</v>
      </c>
      <c r="N129" s="199">
        <f t="shared" si="52"/>
        <v>1</v>
      </c>
      <c r="O129" s="22">
        <f t="shared" si="53"/>
        <v>8.3333333333333329E-2</v>
      </c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s="9" customFormat="1" ht="15.75">
      <c r="A130" s="36" t="s">
        <v>839</v>
      </c>
      <c r="B130" s="21">
        <v>0</v>
      </c>
      <c r="C130" s="21">
        <v>1</v>
      </c>
      <c r="D130" s="21">
        <v>0</v>
      </c>
      <c r="E130" s="301">
        <v>0</v>
      </c>
      <c r="F130" s="38">
        <v>0</v>
      </c>
      <c r="G130" s="38">
        <v>1</v>
      </c>
      <c r="H130" s="321">
        <v>0</v>
      </c>
      <c r="I130" s="38">
        <v>0</v>
      </c>
      <c r="J130" s="38">
        <v>2</v>
      </c>
      <c r="K130" s="38">
        <v>1</v>
      </c>
      <c r="L130" s="38">
        <v>1</v>
      </c>
      <c r="M130" s="38">
        <v>0</v>
      </c>
      <c r="N130" s="199">
        <f t="shared" si="52"/>
        <v>6</v>
      </c>
      <c r="O130" s="22">
        <f t="shared" si="53"/>
        <v>0.5</v>
      </c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s="9" customFormat="1" ht="15.75">
      <c r="A131" s="36" t="s">
        <v>877</v>
      </c>
      <c r="B131" s="21">
        <v>0</v>
      </c>
      <c r="C131" s="21">
        <v>0</v>
      </c>
      <c r="D131" s="21">
        <v>0</v>
      </c>
      <c r="E131" s="301">
        <v>0</v>
      </c>
      <c r="F131" s="38">
        <v>0</v>
      </c>
      <c r="G131" s="38">
        <v>0</v>
      </c>
      <c r="H131" s="321">
        <v>1</v>
      </c>
      <c r="I131" s="38">
        <v>1</v>
      </c>
      <c r="J131" s="38">
        <v>0</v>
      </c>
      <c r="K131" s="38">
        <v>1</v>
      </c>
      <c r="L131" s="38">
        <v>0</v>
      </c>
      <c r="M131" s="38">
        <v>0</v>
      </c>
      <c r="N131" s="199">
        <f t="shared" si="52"/>
        <v>3</v>
      </c>
      <c r="O131" s="22">
        <f t="shared" si="53"/>
        <v>0.25</v>
      </c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s="9" customFormat="1" ht="15.75">
      <c r="A132" s="36" t="s">
        <v>885</v>
      </c>
      <c r="B132" s="21">
        <v>0</v>
      </c>
      <c r="C132" s="21">
        <v>0</v>
      </c>
      <c r="D132" s="21">
        <v>0</v>
      </c>
      <c r="E132" s="301">
        <v>0</v>
      </c>
      <c r="F132" s="38">
        <v>0</v>
      </c>
      <c r="G132" s="38">
        <v>0</v>
      </c>
      <c r="H132" s="321">
        <v>0</v>
      </c>
      <c r="I132" s="38">
        <v>1</v>
      </c>
      <c r="J132" s="38">
        <v>1</v>
      </c>
      <c r="K132" s="38">
        <v>0</v>
      </c>
      <c r="L132" s="38">
        <v>1</v>
      </c>
      <c r="M132" s="38">
        <v>0</v>
      </c>
      <c r="N132" s="199">
        <f t="shared" si="52"/>
        <v>3</v>
      </c>
      <c r="O132" s="22">
        <f t="shared" si="53"/>
        <v>0.25</v>
      </c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s="9" customFormat="1" ht="15.75">
      <c r="A133" s="36" t="s">
        <v>900</v>
      </c>
      <c r="B133" s="21">
        <v>0</v>
      </c>
      <c r="C133" s="21">
        <v>0</v>
      </c>
      <c r="D133" s="21">
        <v>0</v>
      </c>
      <c r="E133" s="301">
        <v>0</v>
      </c>
      <c r="F133" s="38">
        <v>0</v>
      </c>
      <c r="G133" s="38">
        <v>0</v>
      </c>
      <c r="H133" s="321">
        <v>0</v>
      </c>
      <c r="I133" s="38">
        <v>0</v>
      </c>
      <c r="J133" s="38">
        <v>0</v>
      </c>
      <c r="K133" s="38">
        <v>0</v>
      </c>
      <c r="L133" s="38">
        <v>1</v>
      </c>
      <c r="M133" s="38">
        <v>0</v>
      </c>
      <c r="N133" s="199">
        <f t="shared" si="52"/>
        <v>1</v>
      </c>
      <c r="O133" s="22">
        <f t="shared" si="53"/>
        <v>8.3333333333333329E-2</v>
      </c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s="9" customFormat="1" ht="15.75">
      <c r="A134" s="36" t="s">
        <v>901</v>
      </c>
      <c r="B134" s="21">
        <v>0</v>
      </c>
      <c r="C134" s="21">
        <v>0</v>
      </c>
      <c r="D134" s="21">
        <v>0</v>
      </c>
      <c r="E134" s="301">
        <v>0</v>
      </c>
      <c r="F134" s="38">
        <v>0</v>
      </c>
      <c r="G134" s="38">
        <v>0</v>
      </c>
      <c r="H134" s="321">
        <v>0</v>
      </c>
      <c r="I134" s="38">
        <v>0</v>
      </c>
      <c r="J134" s="38">
        <v>0</v>
      </c>
      <c r="K134" s="38">
        <v>0</v>
      </c>
      <c r="L134" s="38">
        <v>1</v>
      </c>
      <c r="M134" s="38">
        <v>1</v>
      </c>
      <c r="N134" s="199">
        <f t="shared" si="52"/>
        <v>2</v>
      </c>
      <c r="O134" s="22">
        <f t="shared" si="53"/>
        <v>0.16666666666666666</v>
      </c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s="9" customFormat="1" ht="15.75">
      <c r="A135" s="36" t="s">
        <v>850</v>
      </c>
      <c r="B135" s="21">
        <v>0</v>
      </c>
      <c r="C135" s="21">
        <v>0</v>
      </c>
      <c r="D135" s="21">
        <v>1</v>
      </c>
      <c r="E135" s="301">
        <v>0</v>
      </c>
      <c r="F135" s="38">
        <v>0</v>
      </c>
      <c r="G135" s="38">
        <v>0</v>
      </c>
      <c r="H135" s="321">
        <v>0</v>
      </c>
      <c r="I135" s="38">
        <v>0</v>
      </c>
      <c r="J135" s="38">
        <v>0</v>
      </c>
      <c r="K135" s="38">
        <v>2</v>
      </c>
      <c r="L135" s="38">
        <v>0</v>
      </c>
      <c r="M135" s="38">
        <v>1</v>
      </c>
      <c r="N135" s="199">
        <f t="shared" si="52"/>
        <v>4</v>
      </c>
      <c r="O135" s="22">
        <f t="shared" si="53"/>
        <v>0.33333333333333331</v>
      </c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s="9" customFormat="1" ht="15.75">
      <c r="A136" s="36" t="s">
        <v>891</v>
      </c>
      <c r="B136" s="21">
        <v>0</v>
      </c>
      <c r="C136" s="21">
        <v>0</v>
      </c>
      <c r="D136" s="21">
        <v>0</v>
      </c>
      <c r="E136" s="301">
        <v>0</v>
      </c>
      <c r="F136" s="38">
        <v>0</v>
      </c>
      <c r="G136" s="38">
        <v>0</v>
      </c>
      <c r="H136" s="321">
        <v>0</v>
      </c>
      <c r="I136" s="38">
        <v>0</v>
      </c>
      <c r="J136" s="38">
        <v>1</v>
      </c>
      <c r="K136" s="38">
        <v>0</v>
      </c>
      <c r="L136" s="38">
        <v>0</v>
      </c>
      <c r="M136" s="38">
        <v>0</v>
      </c>
      <c r="N136" s="199">
        <f t="shared" si="52"/>
        <v>1</v>
      </c>
      <c r="O136" s="22">
        <f t="shared" si="53"/>
        <v>8.3333333333333329E-2</v>
      </c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s="9" customFormat="1" ht="15.75">
      <c r="A137" s="36" t="s">
        <v>58</v>
      </c>
      <c r="B137" s="21">
        <v>1</v>
      </c>
      <c r="C137" s="21">
        <v>3</v>
      </c>
      <c r="D137" s="21">
        <v>1</v>
      </c>
      <c r="E137" s="301">
        <v>1</v>
      </c>
      <c r="F137" s="38">
        <v>1</v>
      </c>
      <c r="G137" s="38">
        <v>1</v>
      </c>
      <c r="H137" s="38">
        <v>1</v>
      </c>
      <c r="I137" s="38">
        <v>1</v>
      </c>
      <c r="J137" s="38">
        <v>0</v>
      </c>
      <c r="K137" s="38">
        <v>1</v>
      </c>
      <c r="L137" s="38">
        <v>0</v>
      </c>
      <c r="M137" s="38">
        <v>3</v>
      </c>
      <c r="N137" s="199">
        <f t="shared" ref="N137:N177" si="60">SUM(B137:M137)</f>
        <v>14</v>
      </c>
      <c r="O137" s="22">
        <f t="shared" ref="O137:O177" si="61">IF(N137=0,0,AVERAGE(B137:M137))</f>
        <v>1.1666666666666667</v>
      </c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s="9" customFormat="1" ht="15.75">
      <c r="A138" s="36" t="s">
        <v>878</v>
      </c>
      <c r="B138" s="21">
        <v>0</v>
      </c>
      <c r="C138" s="21">
        <v>0</v>
      </c>
      <c r="D138" s="21">
        <v>0</v>
      </c>
      <c r="E138" s="301">
        <v>0</v>
      </c>
      <c r="F138" s="38">
        <v>0</v>
      </c>
      <c r="G138" s="38">
        <v>0</v>
      </c>
      <c r="H138" s="38">
        <v>1</v>
      </c>
      <c r="I138" s="38">
        <v>0</v>
      </c>
      <c r="J138" s="38">
        <v>1</v>
      </c>
      <c r="K138" s="38">
        <v>0</v>
      </c>
      <c r="L138" s="38">
        <v>1</v>
      </c>
      <c r="M138" s="38">
        <v>0</v>
      </c>
      <c r="N138" s="199">
        <f t="shared" si="60"/>
        <v>3</v>
      </c>
      <c r="O138" s="22">
        <f t="shared" si="61"/>
        <v>0.25</v>
      </c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s="9" customFormat="1" ht="15.75">
      <c r="A139" s="36" t="s">
        <v>851</v>
      </c>
      <c r="B139" s="21">
        <v>0</v>
      </c>
      <c r="C139" s="21">
        <v>0</v>
      </c>
      <c r="D139" s="21">
        <v>1</v>
      </c>
      <c r="E139" s="301">
        <v>0</v>
      </c>
      <c r="F139" s="38">
        <v>0</v>
      </c>
      <c r="G139" s="38">
        <v>0</v>
      </c>
      <c r="H139" s="38">
        <v>0</v>
      </c>
      <c r="I139" s="38">
        <v>0</v>
      </c>
      <c r="J139" s="38">
        <v>0</v>
      </c>
      <c r="K139" s="38">
        <v>0</v>
      </c>
      <c r="L139" s="38">
        <v>0</v>
      </c>
      <c r="M139" s="38">
        <v>0</v>
      </c>
      <c r="N139" s="199">
        <f t="shared" si="60"/>
        <v>1</v>
      </c>
      <c r="O139" s="22">
        <f t="shared" si="61"/>
        <v>8.3333333333333329E-2</v>
      </c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s="9" customFormat="1" ht="15.75">
      <c r="A140" s="36" t="s">
        <v>638</v>
      </c>
      <c r="B140" s="21">
        <v>1</v>
      </c>
      <c r="C140" s="21">
        <v>1</v>
      </c>
      <c r="D140" s="21">
        <v>1</v>
      </c>
      <c r="E140" s="301">
        <v>0</v>
      </c>
      <c r="F140" s="38">
        <v>0</v>
      </c>
      <c r="G140" s="38">
        <v>0</v>
      </c>
      <c r="H140" s="38">
        <v>0</v>
      </c>
      <c r="I140" s="38">
        <v>4</v>
      </c>
      <c r="J140" s="38">
        <v>0</v>
      </c>
      <c r="K140" s="38">
        <v>0</v>
      </c>
      <c r="L140" s="38">
        <v>0</v>
      </c>
      <c r="M140" s="38">
        <v>3</v>
      </c>
      <c r="N140" s="199">
        <f>SUM(B140:M140)</f>
        <v>10</v>
      </c>
      <c r="O140" s="22">
        <f>IF(N140=0,0,AVERAGE(B140:M140))</f>
        <v>0.83333333333333337</v>
      </c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s="9" customFormat="1" ht="15.75">
      <c r="A141" s="36" t="s">
        <v>852</v>
      </c>
      <c r="B141" s="21">
        <v>0</v>
      </c>
      <c r="C141" s="21">
        <v>0</v>
      </c>
      <c r="D141" s="21">
        <v>1</v>
      </c>
      <c r="E141" s="301">
        <v>0</v>
      </c>
      <c r="F141" s="38">
        <v>0</v>
      </c>
      <c r="G141" s="38">
        <v>1</v>
      </c>
      <c r="H141" s="38">
        <v>1</v>
      </c>
      <c r="I141" s="38">
        <v>0</v>
      </c>
      <c r="J141" s="38">
        <v>0</v>
      </c>
      <c r="K141" s="38">
        <v>0</v>
      </c>
      <c r="L141" s="38">
        <v>0</v>
      </c>
      <c r="M141" s="38">
        <v>0</v>
      </c>
      <c r="N141" s="199">
        <f>SUM(B141:M141)</f>
        <v>3</v>
      </c>
      <c r="O141" s="22">
        <f>IF(N141=0,0,AVERAGE(B141:M141))</f>
        <v>0.25</v>
      </c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s="9" customFormat="1" ht="15.75">
      <c r="A142" s="36" t="s">
        <v>320</v>
      </c>
      <c r="B142" s="21">
        <v>1</v>
      </c>
      <c r="C142" s="21">
        <v>1</v>
      </c>
      <c r="D142" s="21">
        <v>0</v>
      </c>
      <c r="E142" s="21">
        <v>0</v>
      </c>
      <c r="F142" s="39">
        <v>1</v>
      </c>
      <c r="G142" s="39">
        <v>0</v>
      </c>
      <c r="H142" s="39">
        <v>0</v>
      </c>
      <c r="I142" s="39">
        <v>0</v>
      </c>
      <c r="J142" s="39">
        <v>0</v>
      </c>
      <c r="K142" s="39">
        <v>3</v>
      </c>
      <c r="L142" s="39">
        <v>0</v>
      </c>
      <c r="M142" s="39">
        <v>1</v>
      </c>
      <c r="N142" s="199">
        <f>SUM(B142:M142)</f>
        <v>7</v>
      </c>
      <c r="O142" s="22">
        <f>IF(N142=0,0,AVERAGE(B142:M142))</f>
        <v>0.58333333333333337</v>
      </c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s="9" customFormat="1" ht="15.75">
      <c r="A143" s="36" t="s">
        <v>660</v>
      </c>
      <c r="B143" s="21">
        <v>1</v>
      </c>
      <c r="C143" s="21">
        <v>0</v>
      </c>
      <c r="D143" s="21">
        <v>0</v>
      </c>
      <c r="E143" s="21">
        <v>0</v>
      </c>
      <c r="F143" s="39">
        <v>0</v>
      </c>
      <c r="G143" s="39">
        <v>0</v>
      </c>
      <c r="H143" s="39">
        <v>0</v>
      </c>
      <c r="I143" s="39">
        <v>0</v>
      </c>
      <c r="J143" s="39">
        <v>0</v>
      </c>
      <c r="K143" s="39">
        <v>0</v>
      </c>
      <c r="L143" s="39">
        <v>0</v>
      </c>
      <c r="M143" s="39">
        <v>0</v>
      </c>
      <c r="N143" s="199">
        <f>SUM(B143:M143)</f>
        <v>1</v>
      </c>
      <c r="O143" s="22">
        <f>IF(N143=0,0,AVERAGE(B143:M143))</f>
        <v>8.3333333333333329E-2</v>
      </c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s="9" customFormat="1" ht="15.75">
      <c r="A144" s="36" t="s">
        <v>652</v>
      </c>
      <c r="B144" s="21">
        <v>1</v>
      </c>
      <c r="C144" s="21">
        <v>0</v>
      </c>
      <c r="D144" s="21">
        <v>1</v>
      </c>
      <c r="E144" s="301">
        <v>0</v>
      </c>
      <c r="F144" s="38">
        <v>0</v>
      </c>
      <c r="G144" s="38">
        <v>0</v>
      </c>
      <c r="H144" s="38">
        <v>0</v>
      </c>
      <c r="I144" s="38">
        <v>1</v>
      </c>
      <c r="J144" s="38">
        <v>0</v>
      </c>
      <c r="K144" s="38">
        <v>0</v>
      </c>
      <c r="L144" s="38">
        <v>1</v>
      </c>
      <c r="M144" s="38">
        <v>0</v>
      </c>
      <c r="N144" s="199">
        <f t="shared" si="60"/>
        <v>4</v>
      </c>
      <c r="O144" s="22">
        <f t="shared" si="61"/>
        <v>0.33333333333333331</v>
      </c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s="9" customFormat="1" ht="15.75">
      <c r="A145" s="36" t="s">
        <v>888</v>
      </c>
      <c r="B145" s="21">
        <v>0</v>
      </c>
      <c r="C145" s="21">
        <v>0</v>
      </c>
      <c r="D145" s="21">
        <v>0</v>
      </c>
      <c r="E145" s="301">
        <v>0</v>
      </c>
      <c r="F145" s="38">
        <v>0</v>
      </c>
      <c r="G145" s="38">
        <v>0</v>
      </c>
      <c r="H145" s="38">
        <v>0</v>
      </c>
      <c r="I145" s="38">
        <v>0</v>
      </c>
      <c r="J145" s="38">
        <v>1</v>
      </c>
      <c r="K145" s="38">
        <v>0</v>
      </c>
      <c r="L145" s="38">
        <v>0</v>
      </c>
      <c r="M145" s="38">
        <v>0</v>
      </c>
      <c r="N145" s="199">
        <f t="shared" si="60"/>
        <v>1</v>
      </c>
      <c r="O145" s="22">
        <f t="shared" si="61"/>
        <v>8.3333333333333329E-2</v>
      </c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s="9" customFormat="1" ht="15.75">
      <c r="A146" s="36" t="s">
        <v>858</v>
      </c>
      <c r="B146" s="21">
        <v>0</v>
      </c>
      <c r="C146" s="21">
        <v>0</v>
      </c>
      <c r="D146" s="21">
        <v>0</v>
      </c>
      <c r="E146" s="301">
        <v>1</v>
      </c>
      <c r="F146" s="38">
        <v>0</v>
      </c>
      <c r="G146" s="38">
        <v>0</v>
      </c>
      <c r="H146" s="38">
        <v>0</v>
      </c>
      <c r="I146" s="38">
        <v>0</v>
      </c>
      <c r="J146" s="38">
        <v>0</v>
      </c>
      <c r="K146" s="38">
        <v>0</v>
      </c>
      <c r="L146" s="38">
        <v>1</v>
      </c>
      <c r="M146" s="38">
        <v>0</v>
      </c>
      <c r="N146" s="199">
        <f t="shared" si="60"/>
        <v>2</v>
      </c>
      <c r="O146" s="22">
        <f t="shared" si="61"/>
        <v>0.16666666666666666</v>
      </c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s="9" customFormat="1" ht="15.75">
      <c r="A147" s="36" t="s">
        <v>840</v>
      </c>
      <c r="B147" s="21">
        <v>0</v>
      </c>
      <c r="C147" s="21">
        <v>1</v>
      </c>
      <c r="D147" s="21">
        <v>0</v>
      </c>
      <c r="E147" s="301">
        <v>0</v>
      </c>
      <c r="F147" s="38">
        <v>0</v>
      </c>
      <c r="G147" s="38">
        <v>0</v>
      </c>
      <c r="H147" s="38">
        <v>0</v>
      </c>
      <c r="I147" s="38">
        <v>2</v>
      </c>
      <c r="J147" s="38">
        <v>1</v>
      </c>
      <c r="K147" s="38">
        <v>0</v>
      </c>
      <c r="L147" s="38">
        <v>0</v>
      </c>
      <c r="M147" s="38">
        <v>2</v>
      </c>
      <c r="N147" s="199">
        <f t="shared" si="60"/>
        <v>6</v>
      </c>
      <c r="O147" s="22">
        <f t="shared" si="61"/>
        <v>0.5</v>
      </c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s="9" customFormat="1" ht="15.75">
      <c r="A148" s="36" t="s">
        <v>859</v>
      </c>
      <c r="B148" s="21">
        <v>0</v>
      </c>
      <c r="C148" s="21">
        <v>0</v>
      </c>
      <c r="D148" s="21">
        <v>0</v>
      </c>
      <c r="E148" s="301">
        <v>1</v>
      </c>
      <c r="F148" s="38">
        <v>0</v>
      </c>
      <c r="G148" s="38">
        <v>0</v>
      </c>
      <c r="H148" s="38">
        <v>0</v>
      </c>
      <c r="I148" s="38">
        <v>1</v>
      </c>
      <c r="J148" s="38">
        <v>0</v>
      </c>
      <c r="K148" s="38">
        <v>1</v>
      </c>
      <c r="L148" s="38">
        <v>2</v>
      </c>
      <c r="M148" s="38">
        <v>0</v>
      </c>
      <c r="N148" s="199">
        <f t="shared" si="60"/>
        <v>5</v>
      </c>
      <c r="O148" s="22">
        <f t="shared" si="61"/>
        <v>0.41666666666666669</v>
      </c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s="9" customFormat="1" ht="15.75">
      <c r="A149" s="36" t="s">
        <v>595</v>
      </c>
      <c r="B149" s="21">
        <v>1</v>
      </c>
      <c r="C149" s="21">
        <v>0</v>
      </c>
      <c r="D149" s="21">
        <v>0</v>
      </c>
      <c r="E149" s="21">
        <v>0</v>
      </c>
      <c r="F149" s="21">
        <v>0</v>
      </c>
      <c r="G149" s="21">
        <v>0</v>
      </c>
      <c r="H149" s="21">
        <v>3</v>
      </c>
      <c r="I149" s="21">
        <v>0</v>
      </c>
      <c r="J149" s="21">
        <v>0</v>
      </c>
      <c r="K149" s="21">
        <v>1</v>
      </c>
      <c r="L149" s="21">
        <v>0</v>
      </c>
      <c r="M149" s="21">
        <v>4</v>
      </c>
      <c r="N149" s="199">
        <f t="shared" si="60"/>
        <v>9</v>
      </c>
      <c r="O149" s="22">
        <f t="shared" si="61"/>
        <v>0.75</v>
      </c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s="9" customFormat="1" ht="15.75">
      <c r="A150" s="36" t="s">
        <v>59</v>
      </c>
      <c r="B150" s="21">
        <v>4</v>
      </c>
      <c r="C150" s="21">
        <v>0</v>
      </c>
      <c r="D150" s="21">
        <v>0</v>
      </c>
      <c r="E150" s="21">
        <v>1</v>
      </c>
      <c r="F150" s="21">
        <v>0</v>
      </c>
      <c r="G150" s="21">
        <v>2</v>
      </c>
      <c r="H150" s="21">
        <v>1</v>
      </c>
      <c r="I150" s="21">
        <v>1</v>
      </c>
      <c r="J150" s="21">
        <v>4</v>
      </c>
      <c r="K150" s="21">
        <v>7</v>
      </c>
      <c r="L150" s="21">
        <v>4</v>
      </c>
      <c r="M150" s="21">
        <v>1</v>
      </c>
      <c r="N150" s="199">
        <f t="shared" si="60"/>
        <v>25</v>
      </c>
      <c r="O150" s="22">
        <f t="shared" si="61"/>
        <v>2.0833333333333335</v>
      </c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s="9" customFormat="1" ht="15.75">
      <c r="A151" s="36" t="s">
        <v>841</v>
      </c>
      <c r="B151" s="21">
        <v>0</v>
      </c>
      <c r="C151" s="21">
        <v>1</v>
      </c>
      <c r="D151" s="21">
        <v>1</v>
      </c>
      <c r="E151" s="21">
        <v>1</v>
      </c>
      <c r="F151" s="21">
        <v>0</v>
      </c>
      <c r="G151" s="21">
        <v>0</v>
      </c>
      <c r="H151" s="21">
        <v>0</v>
      </c>
      <c r="I151" s="21">
        <v>1</v>
      </c>
      <c r="J151" s="21">
        <v>0</v>
      </c>
      <c r="K151" s="21">
        <v>0</v>
      </c>
      <c r="L151" s="21">
        <v>0</v>
      </c>
      <c r="M151" s="21">
        <v>0</v>
      </c>
      <c r="N151" s="199">
        <f t="shared" si="60"/>
        <v>4</v>
      </c>
      <c r="O151" s="22">
        <f t="shared" si="61"/>
        <v>0.33333333333333331</v>
      </c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s="9" customFormat="1" ht="15.75">
      <c r="A152" s="36" t="s">
        <v>902</v>
      </c>
      <c r="B152" s="21">
        <v>0</v>
      </c>
      <c r="C152" s="21">
        <v>0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  <c r="J152" s="21">
        <v>0</v>
      </c>
      <c r="K152" s="21">
        <v>0</v>
      </c>
      <c r="L152" s="21">
        <v>1</v>
      </c>
      <c r="M152" s="21">
        <v>0</v>
      </c>
      <c r="N152" s="199">
        <f t="shared" si="60"/>
        <v>1</v>
      </c>
      <c r="O152" s="22">
        <f t="shared" si="61"/>
        <v>8.3333333333333329E-2</v>
      </c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s="9" customFormat="1" ht="15.75">
      <c r="A153" s="36" t="s">
        <v>842</v>
      </c>
      <c r="B153" s="21">
        <v>0</v>
      </c>
      <c r="C153" s="21">
        <v>3</v>
      </c>
      <c r="D153" s="21">
        <v>0</v>
      </c>
      <c r="E153" s="21">
        <v>2</v>
      </c>
      <c r="F153" s="21">
        <v>1</v>
      </c>
      <c r="G153" s="21">
        <v>2</v>
      </c>
      <c r="H153" s="21">
        <v>0</v>
      </c>
      <c r="I153" s="21">
        <v>0</v>
      </c>
      <c r="J153" s="21">
        <v>2</v>
      </c>
      <c r="K153" s="21">
        <v>2</v>
      </c>
      <c r="L153" s="21">
        <v>1</v>
      </c>
      <c r="M153" s="21">
        <v>2</v>
      </c>
      <c r="N153" s="199">
        <f t="shared" si="60"/>
        <v>15</v>
      </c>
      <c r="O153" s="22">
        <f t="shared" si="61"/>
        <v>1.25</v>
      </c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s="9" customFormat="1" ht="15.75">
      <c r="A154" s="36" t="s">
        <v>906</v>
      </c>
      <c r="B154" s="21">
        <v>0</v>
      </c>
      <c r="C154" s="21">
        <v>0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  <c r="J154" s="21">
        <v>0</v>
      </c>
      <c r="K154" s="21">
        <v>0</v>
      </c>
      <c r="L154" s="21">
        <v>0</v>
      </c>
      <c r="M154" s="21">
        <v>1</v>
      </c>
      <c r="N154" s="199">
        <f t="shared" si="60"/>
        <v>1</v>
      </c>
      <c r="O154" s="22">
        <f t="shared" si="61"/>
        <v>8.3333333333333329E-2</v>
      </c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s="9" customFormat="1" ht="15.75">
      <c r="A155" s="36" t="s">
        <v>897</v>
      </c>
      <c r="B155" s="21">
        <v>0</v>
      </c>
      <c r="C155" s="21">
        <v>0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  <c r="J155" s="21">
        <v>0</v>
      </c>
      <c r="K155" s="21">
        <v>2</v>
      </c>
      <c r="L155" s="21">
        <v>1</v>
      </c>
      <c r="M155" s="21">
        <v>4</v>
      </c>
      <c r="N155" s="199">
        <f t="shared" si="60"/>
        <v>7</v>
      </c>
      <c r="O155" s="22">
        <f t="shared" si="61"/>
        <v>0.58333333333333337</v>
      </c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s="9" customFormat="1" ht="15.75">
      <c r="A156" s="36" t="s">
        <v>327</v>
      </c>
      <c r="B156" s="21">
        <v>1</v>
      </c>
      <c r="C156" s="21">
        <v>0</v>
      </c>
      <c r="D156" s="21">
        <v>0</v>
      </c>
      <c r="E156" s="21">
        <v>0</v>
      </c>
      <c r="F156" s="21">
        <v>0</v>
      </c>
      <c r="G156" s="21">
        <v>1</v>
      </c>
      <c r="H156" s="21">
        <v>1</v>
      </c>
      <c r="I156" s="21">
        <v>5</v>
      </c>
      <c r="J156" s="21">
        <v>2</v>
      </c>
      <c r="K156" s="21">
        <v>1</v>
      </c>
      <c r="L156" s="21">
        <v>2</v>
      </c>
      <c r="M156" s="21">
        <v>0</v>
      </c>
      <c r="N156" s="199">
        <f t="shared" si="60"/>
        <v>13</v>
      </c>
      <c r="O156" s="22">
        <f t="shared" si="61"/>
        <v>1.0833333333333333</v>
      </c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s="9" customFormat="1" ht="15.75">
      <c r="A157" s="36" t="s">
        <v>879</v>
      </c>
      <c r="B157" s="21">
        <v>0</v>
      </c>
      <c r="C157" s="21">
        <v>0</v>
      </c>
      <c r="D157" s="21">
        <v>0</v>
      </c>
      <c r="E157" s="21">
        <v>0</v>
      </c>
      <c r="F157" s="21">
        <v>0</v>
      </c>
      <c r="G157" s="21">
        <v>0</v>
      </c>
      <c r="H157" s="21">
        <v>1</v>
      </c>
      <c r="I157" s="21">
        <v>0</v>
      </c>
      <c r="J157" s="21">
        <v>0</v>
      </c>
      <c r="K157" s="21">
        <v>1</v>
      </c>
      <c r="L157" s="21">
        <v>1</v>
      </c>
      <c r="M157" s="21">
        <v>1</v>
      </c>
      <c r="N157" s="199">
        <f t="shared" si="60"/>
        <v>4</v>
      </c>
      <c r="O157" s="22">
        <f t="shared" si="61"/>
        <v>0.33333333333333331</v>
      </c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s="9" customFormat="1" ht="15.75">
      <c r="A158" s="36" t="s">
        <v>880</v>
      </c>
      <c r="B158" s="21">
        <v>0</v>
      </c>
      <c r="C158" s="21">
        <v>0</v>
      </c>
      <c r="D158" s="21">
        <v>0</v>
      </c>
      <c r="E158" s="21">
        <v>0</v>
      </c>
      <c r="F158" s="21">
        <v>0</v>
      </c>
      <c r="G158" s="21">
        <v>0</v>
      </c>
      <c r="H158" s="21">
        <v>1</v>
      </c>
      <c r="I158" s="21">
        <v>0</v>
      </c>
      <c r="J158" s="21">
        <v>0</v>
      </c>
      <c r="K158" s="21">
        <v>0</v>
      </c>
      <c r="L158" s="21">
        <v>1</v>
      </c>
      <c r="M158" s="21">
        <v>0</v>
      </c>
      <c r="N158" s="199">
        <f t="shared" si="60"/>
        <v>2</v>
      </c>
      <c r="O158" s="22">
        <f t="shared" si="61"/>
        <v>0.16666666666666666</v>
      </c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s="9" customFormat="1" ht="15.75">
      <c r="A159" s="36" t="s">
        <v>843</v>
      </c>
      <c r="B159" s="21">
        <v>0</v>
      </c>
      <c r="C159" s="21">
        <v>2</v>
      </c>
      <c r="D159" s="21">
        <v>1</v>
      </c>
      <c r="E159" s="21">
        <v>0</v>
      </c>
      <c r="F159" s="21">
        <v>0</v>
      </c>
      <c r="G159" s="21">
        <v>0</v>
      </c>
      <c r="H159" s="21">
        <v>1</v>
      </c>
      <c r="I159" s="21">
        <v>1</v>
      </c>
      <c r="J159" s="21">
        <v>3</v>
      </c>
      <c r="K159" s="21">
        <v>0</v>
      </c>
      <c r="L159" s="21">
        <v>4</v>
      </c>
      <c r="M159" s="21">
        <v>1</v>
      </c>
      <c r="N159" s="199">
        <f t="shared" si="60"/>
        <v>13</v>
      </c>
      <c r="O159" s="22">
        <f t="shared" si="61"/>
        <v>1.0833333333333333</v>
      </c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s="9" customFormat="1" ht="15.75">
      <c r="A160" s="36" t="s">
        <v>860</v>
      </c>
      <c r="B160" s="21">
        <v>0</v>
      </c>
      <c r="C160" s="21">
        <v>0</v>
      </c>
      <c r="D160" s="21">
        <v>0</v>
      </c>
      <c r="E160" s="21">
        <v>0</v>
      </c>
      <c r="F160" s="21">
        <v>1</v>
      </c>
      <c r="G160" s="21">
        <v>0</v>
      </c>
      <c r="H160" s="21">
        <v>1</v>
      </c>
      <c r="I160" s="21">
        <v>1</v>
      </c>
      <c r="J160" s="21">
        <v>0</v>
      </c>
      <c r="K160" s="21">
        <v>0</v>
      </c>
      <c r="L160" s="21">
        <v>1</v>
      </c>
      <c r="M160" s="21">
        <v>0</v>
      </c>
      <c r="N160" s="199">
        <f t="shared" si="60"/>
        <v>4</v>
      </c>
      <c r="O160" s="22">
        <f t="shared" si="61"/>
        <v>0.33333333333333331</v>
      </c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s="9" customFormat="1" ht="15.75">
      <c r="A161" s="36" t="s">
        <v>844</v>
      </c>
      <c r="B161" s="21">
        <v>0</v>
      </c>
      <c r="C161" s="21">
        <v>2</v>
      </c>
      <c r="D161" s="21">
        <v>2</v>
      </c>
      <c r="E161" s="21">
        <v>0</v>
      </c>
      <c r="F161" s="21">
        <v>0</v>
      </c>
      <c r="G161" s="21">
        <v>0</v>
      </c>
      <c r="H161" s="21">
        <v>0</v>
      </c>
      <c r="I161" s="21">
        <v>2</v>
      </c>
      <c r="J161" s="21">
        <v>1</v>
      </c>
      <c r="K161" s="21">
        <v>0</v>
      </c>
      <c r="L161" s="21">
        <v>2</v>
      </c>
      <c r="M161" s="21">
        <v>3</v>
      </c>
      <c r="N161" s="199">
        <f t="shared" si="60"/>
        <v>12</v>
      </c>
      <c r="O161" s="22">
        <f t="shared" si="61"/>
        <v>1</v>
      </c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s="9" customFormat="1" ht="15.75">
      <c r="A162" s="36" t="s">
        <v>889</v>
      </c>
      <c r="B162" s="21">
        <v>0</v>
      </c>
      <c r="C162" s="21">
        <v>0</v>
      </c>
      <c r="D162" s="21">
        <v>0</v>
      </c>
      <c r="E162" s="21">
        <v>0</v>
      </c>
      <c r="F162" s="21">
        <v>0</v>
      </c>
      <c r="G162" s="21">
        <v>0</v>
      </c>
      <c r="H162" s="21">
        <v>0</v>
      </c>
      <c r="I162" s="21">
        <v>0</v>
      </c>
      <c r="J162" s="21">
        <v>1</v>
      </c>
      <c r="K162" s="21">
        <v>0</v>
      </c>
      <c r="L162" s="21">
        <v>0</v>
      </c>
      <c r="M162" s="21">
        <v>0</v>
      </c>
      <c r="N162" s="199">
        <f t="shared" si="60"/>
        <v>1</v>
      </c>
      <c r="O162" s="22">
        <f t="shared" si="61"/>
        <v>8.3333333333333329E-2</v>
      </c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s="9" customFormat="1" ht="15.75">
      <c r="A163" s="36" t="s">
        <v>903</v>
      </c>
      <c r="B163" s="21">
        <v>0</v>
      </c>
      <c r="C163" s="21">
        <v>0</v>
      </c>
      <c r="D163" s="21">
        <v>0</v>
      </c>
      <c r="E163" s="21">
        <v>0</v>
      </c>
      <c r="F163" s="21">
        <v>0</v>
      </c>
      <c r="G163" s="21">
        <v>0</v>
      </c>
      <c r="H163" s="21">
        <v>0</v>
      </c>
      <c r="I163" s="21">
        <v>0</v>
      </c>
      <c r="J163" s="21">
        <v>0</v>
      </c>
      <c r="K163" s="21">
        <v>0</v>
      </c>
      <c r="L163" s="21">
        <v>1</v>
      </c>
      <c r="M163" s="21">
        <v>0</v>
      </c>
      <c r="N163" s="199">
        <f t="shared" si="60"/>
        <v>1</v>
      </c>
      <c r="O163" s="22">
        <f t="shared" si="61"/>
        <v>8.3333333333333329E-2</v>
      </c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s="9" customFormat="1" ht="15.75">
      <c r="A164" s="36" t="s">
        <v>871</v>
      </c>
      <c r="B164" s="21">
        <v>0</v>
      </c>
      <c r="C164" s="21">
        <v>0</v>
      </c>
      <c r="D164" s="21">
        <v>0</v>
      </c>
      <c r="E164" s="21">
        <v>0</v>
      </c>
      <c r="F164" s="21">
        <v>0</v>
      </c>
      <c r="G164" s="21">
        <v>1</v>
      </c>
      <c r="H164" s="21">
        <v>0</v>
      </c>
      <c r="I164" s="21">
        <v>0</v>
      </c>
      <c r="J164" s="21">
        <v>0</v>
      </c>
      <c r="K164" s="21">
        <v>1</v>
      </c>
      <c r="L164" s="21">
        <v>0</v>
      </c>
      <c r="M164" s="21">
        <v>0</v>
      </c>
      <c r="N164" s="199">
        <f t="shared" si="60"/>
        <v>2</v>
      </c>
      <c r="O164" s="22">
        <f t="shared" si="61"/>
        <v>0.16666666666666666</v>
      </c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s="9" customFormat="1" ht="15.75">
      <c r="A165" s="36" t="s">
        <v>60</v>
      </c>
      <c r="B165" s="21">
        <v>2</v>
      </c>
      <c r="C165" s="21">
        <v>1</v>
      </c>
      <c r="D165" s="21">
        <v>1</v>
      </c>
      <c r="E165" s="21">
        <v>1</v>
      </c>
      <c r="F165" s="21">
        <v>1</v>
      </c>
      <c r="G165" s="21">
        <v>1</v>
      </c>
      <c r="H165" s="21">
        <v>0</v>
      </c>
      <c r="I165" s="21">
        <v>1</v>
      </c>
      <c r="J165" s="21">
        <v>1</v>
      </c>
      <c r="K165" s="21">
        <v>1</v>
      </c>
      <c r="L165" s="21">
        <v>2</v>
      </c>
      <c r="M165" s="21">
        <v>1</v>
      </c>
      <c r="N165" s="199">
        <f t="shared" si="60"/>
        <v>13</v>
      </c>
      <c r="O165" s="22">
        <f t="shared" si="61"/>
        <v>1.0833333333333333</v>
      </c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s="9" customFormat="1" ht="15.75">
      <c r="A166" s="36" t="s">
        <v>654</v>
      </c>
      <c r="B166" s="21">
        <v>1</v>
      </c>
      <c r="C166" s="21">
        <v>1</v>
      </c>
      <c r="D166" s="21">
        <v>0</v>
      </c>
      <c r="E166" s="21">
        <v>0</v>
      </c>
      <c r="F166" s="21">
        <v>1</v>
      </c>
      <c r="G166" s="21">
        <v>0</v>
      </c>
      <c r="H166" s="21">
        <v>0</v>
      </c>
      <c r="I166" s="21">
        <v>1</v>
      </c>
      <c r="J166" s="21">
        <v>1</v>
      </c>
      <c r="K166" s="21">
        <v>0</v>
      </c>
      <c r="L166" s="21">
        <v>1</v>
      </c>
      <c r="M166" s="21">
        <v>1</v>
      </c>
      <c r="N166" s="199">
        <f t="shared" si="60"/>
        <v>7</v>
      </c>
      <c r="O166" s="22">
        <f t="shared" si="61"/>
        <v>0.58333333333333337</v>
      </c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s="9" customFormat="1" ht="15.75">
      <c r="A167" s="36" t="s">
        <v>907</v>
      </c>
      <c r="B167" s="21">
        <v>0</v>
      </c>
      <c r="C167" s="21">
        <v>0</v>
      </c>
      <c r="D167" s="21">
        <v>0</v>
      </c>
      <c r="E167" s="21">
        <v>0</v>
      </c>
      <c r="F167" s="21">
        <v>0</v>
      </c>
      <c r="G167" s="21">
        <v>0</v>
      </c>
      <c r="H167" s="21">
        <v>0</v>
      </c>
      <c r="I167" s="21">
        <v>0</v>
      </c>
      <c r="J167" s="21">
        <v>0</v>
      </c>
      <c r="K167" s="21">
        <v>0</v>
      </c>
      <c r="L167" s="21">
        <v>0</v>
      </c>
      <c r="M167" s="21">
        <v>1</v>
      </c>
      <c r="N167" s="199">
        <f t="shared" si="60"/>
        <v>1</v>
      </c>
      <c r="O167" s="22">
        <f t="shared" si="61"/>
        <v>8.3333333333333329E-2</v>
      </c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s="9" customFormat="1" ht="15.75">
      <c r="A168" s="36" t="s">
        <v>892</v>
      </c>
      <c r="B168" s="21">
        <v>0</v>
      </c>
      <c r="C168" s="21">
        <v>0</v>
      </c>
      <c r="D168" s="21">
        <v>0</v>
      </c>
      <c r="E168" s="21">
        <v>0</v>
      </c>
      <c r="F168" s="21">
        <v>0</v>
      </c>
      <c r="G168" s="21">
        <v>0</v>
      </c>
      <c r="H168" s="21">
        <v>0</v>
      </c>
      <c r="I168" s="21">
        <v>0</v>
      </c>
      <c r="J168" s="21">
        <v>1</v>
      </c>
      <c r="K168" s="21">
        <v>2</v>
      </c>
      <c r="L168" s="21">
        <v>0</v>
      </c>
      <c r="M168" s="21">
        <v>1</v>
      </c>
      <c r="N168" s="199">
        <f t="shared" si="60"/>
        <v>4</v>
      </c>
      <c r="O168" s="22">
        <f t="shared" si="61"/>
        <v>0.33333333333333331</v>
      </c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s="9" customFormat="1" ht="15.75">
      <c r="A169" s="36" t="s">
        <v>308</v>
      </c>
      <c r="B169" s="21">
        <v>2</v>
      </c>
      <c r="C169" s="21">
        <v>0</v>
      </c>
      <c r="D169" s="21">
        <v>1</v>
      </c>
      <c r="E169" s="21">
        <v>1</v>
      </c>
      <c r="F169" s="21">
        <v>0</v>
      </c>
      <c r="G169" s="21">
        <v>0</v>
      </c>
      <c r="H169" s="21">
        <v>0</v>
      </c>
      <c r="I169" s="21">
        <v>0</v>
      </c>
      <c r="J169" s="21">
        <v>2</v>
      </c>
      <c r="K169" s="21">
        <v>3</v>
      </c>
      <c r="L169" s="21">
        <v>3</v>
      </c>
      <c r="M169" s="21">
        <v>0</v>
      </c>
      <c r="N169" s="199">
        <f t="shared" si="60"/>
        <v>12</v>
      </c>
      <c r="O169" s="22">
        <f t="shared" si="61"/>
        <v>1</v>
      </c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s="9" customFormat="1" ht="15.75">
      <c r="A170" s="36" t="s">
        <v>886</v>
      </c>
      <c r="B170" s="21">
        <v>0</v>
      </c>
      <c r="C170" s="21">
        <v>0</v>
      </c>
      <c r="D170" s="21">
        <v>0</v>
      </c>
      <c r="E170" s="21">
        <v>0</v>
      </c>
      <c r="F170" s="21">
        <v>0</v>
      </c>
      <c r="G170" s="21">
        <v>0</v>
      </c>
      <c r="H170" s="21">
        <v>0</v>
      </c>
      <c r="I170" s="21">
        <v>1</v>
      </c>
      <c r="J170" s="21">
        <v>0</v>
      </c>
      <c r="K170" s="21">
        <v>0</v>
      </c>
      <c r="L170" s="21">
        <v>0</v>
      </c>
      <c r="M170" s="21">
        <v>0</v>
      </c>
      <c r="N170" s="199">
        <f t="shared" si="60"/>
        <v>1</v>
      </c>
      <c r="O170" s="22">
        <f t="shared" si="61"/>
        <v>8.3333333333333329E-2</v>
      </c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s="9" customFormat="1" ht="15.75">
      <c r="A171" s="36" t="s">
        <v>845</v>
      </c>
      <c r="B171" s="21">
        <v>0</v>
      </c>
      <c r="C171" s="21">
        <v>1</v>
      </c>
      <c r="D171" s="21">
        <v>1</v>
      </c>
      <c r="E171" s="21">
        <v>3</v>
      </c>
      <c r="F171" s="21">
        <v>1</v>
      </c>
      <c r="G171" s="21">
        <v>2</v>
      </c>
      <c r="H171" s="21">
        <v>1</v>
      </c>
      <c r="I171" s="21">
        <v>1</v>
      </c>
      <c r="J171" s="21">
        <v>1</v>
      </c>
      <c r="K171" s="21">
        <v>0</v>
      </c>
      <c r="L171" s="21">
        <v>1</v>
      </c>
      <c r="M171" s="21">
        <v>8</v>
      </c>
      <c r="N171" s="199">
        <f t="shared" si="60"/>
        <v>20</v>
      </c>
      <c r="O171" s="22">
        <f t="shared" si="61"/>
        <v>1.6666666666666667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s="9" customFormat="1" ht="15.75">
      <c r="A172" s="36" t="s">
        <v>898</v>
      </c>
      <c r="B172" s="21">
        <v>0</v>
      </c>
      <c r="C172" s="21">
        <v>0</v>
      </c>
      <c r="D172" s="21">
        <v>0</v>
      </c>
      <c r="E172" s="21">
        <v>0</v>
      </c>
      <c r="F172" s="21">
        <v>0</v>
      </c>
      <c r="G172" s="21">
        <v>0</v>
      </c>
      <c r="H172" s="21">
        <v>0</v>
      </c>
      <c r="I172" s="21">
        <v>0</v>
      </c>
      <c r="J172" s="21">
        <v>0</v>
      </c>
      <c r="K172" s="21">
        <v>1</v>
      </c>
      <c r="L172" s="21">
        <v>2</v>
      </c>
      <c r="M172" s="21">
        <v>1</v>
      </c>
      <c r="N172" s="199">
        <f t="shared" si="60"/>
        <v>4</v>
      </c>
      <c r="O172" s="22">
        <f t="shared" si="61"/>
        <v>0.33333333333333331</v>
      </c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s="9" customFormat="1" ht="15.75">
      <c r="A173" s="36" t="s">
        <v>853</v>
      </c>
      <c r="B173" s="21">
        <v>0</v>
      </c>
      <c r="C173" s="21">
        <v>0</v>
      </c>
      <c r="D173" s="21">
        <v>2</v>
      </c>
      <c r="E173" s="21">
        <v>1</v>
      </c>
      <c r="F173" s="21">
        <v>0</v>
      </c>
      <c r="G173" s="21">
        <v>0</v>
      </c>
      <c r="H173" s="21">
        <v>1</v>
      </c>
      <c r="I173" s="21">
        <v>0</v>
      </c>
      <c r="J173" s="21">
        <v>0</v>
      </c>
      <c r="K173" s="21">
        <v>1</v>
      </c>
      <c r="L173" s="21">
        <v>0</v>
      </c>
      <c r="M173" s="21">
        <v>1</v>
      </c>
      <c r="N173" s="199">
        <f t="shared" si="60"/>
        <v>6</v>
      </c>
      <c r="O173" s="22">
        <f t="shared" si="61"/>
        <v>0.5</v>
      </c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s="9" customFormat="1" ht="15.75">
      <c r="A174" s="36" t="s">
        <v>394</v>
      </c>
      <c r="B174" s="21">
        <v>1</v>
      </c>
      <c r="C174" s="21">
        <v>0</v>
      </c>
      <c r="D174" s="21">
        <v>0</v>
      </c>
      <c r="E174" s="21">
        <v>0</v>
      </c>
      <c r="F174" s="21">
        <v>0</v>
      </c>
      <c r="G174" s="21">
        <v>1</v>
      </c>
      <c r="H174" s="21">
        <v>0</v>
      </c>
      <c r="I174" s="21">
        <v>1</v>
      </c>
      <c r="J174" s="21">
        <v>0</v>
      </c>
      <c r="K174" s="21">
        <v>0</v>
      </c>
      <c r="L174" s="21">
        <v>0</v>
      </c>
      <c r="M174" s="21">
        <v>1</v>
      </c>
      <c r="N174" s="199">
        <f t="shared" si="60"/>
        <v>4</v>
      </c>
      <c r="O174" s="22">
        <f t="shared" si="61"/>
        <v>0.33333333333333331</v>
      </c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s="9" customFormat="1" ht="15.75">
      <c r="A175" s="36" t="s">
        <v>872</v>
      </c>
      <c r="B175" s="21">
        <v>0</v>
      </c>
      <c r="C175" s="21">
        <v>0</v>
      </c>
      <c r="D175" s="21">
        <v>0</v>
      </c>
      <c r="E175" s="21">
        <v>0</v>
      </c>
      <c r="F175" s="21">
        <v>0</v>
      </c>
      <c r="G175" s="21">
        <v>1</v>
      </c>
      <c r="H175" s="21">
        <v>1</v>
      </c>
      <c r="I175" s="21">
        <v>2</v>
      </c>
      <c r="J175" s="21">
        <v>0</v>
      </c>
      <c r="K175" s="21">
        <v>0</v>
      </c>
      <c r="L175" s="21">
        <v>3</v>
      </c>
      <c r="M175" s="21">
        <v>2</v>
      </c>
      <c r="N175" s="199">
        <f t="shared" si="60"/>
        <v>9</v>
      </c>
      <c r="O175" s="22">
        <f t="shared" si="61"/>
        <v>0.75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s="9" customFormat="1" ht="15.75">
      <c r="A176" s="36" t="s">
        <v>890</v>
      </c>
      <c r="B176" s="21">
        <v>0</v>
      </c>
      <c r="C176" s="21">
        <v>0</v>
      </c>
      <c r="D176" s="21">
        <v>0</v>
      </c>
      <c r="E176" s="21">
        <v>0</v>
      </c>
      <c r="F176" s="21">
        <v>0</v>
      </c>
      <c r="G176" s="21">
        <v>0</v>
      </c>
      <c r="H176" s="21">
        <v>0</v>
      </c>
      <c r="I176" s="21">
        <v>0</v>
      </c>
      <c r="J176" s="21">
        <v>1</v>
      </c>
      <c r="K176" s="21">
        <v>1</v>
      </c>
      <c r="L176" s="21">
        <v>0</v>
      </c>
      <c r="M176" s="21">
        <v>2</v>
      </c>
      <c r="N176" s="199">
        <f t="shared" si="60"/>
        <v>4</v>
      </c>
      <c r="O176" s="22">
        <f t="shared" si="61"/>
        <v>0.33333333333333331</v>
      </c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s="9" customFormat="1" ht="15.75">
      <c r="A177" s="36" t="s">
        <v>22</v>
      </c>
      <c r="B177" s="21">
        <v>0</v>
      </c>
      <c r="C177" s="21">
        <v>0</v>
      </c>
      <c r="D177" s="21">
        <v>0</v>
      </c>
      <c r="E177" s="21">
        <v>1</v>
      </c>
      <c r="F177" s="21">
        <v>0</v>
      </c>
      <c r="G177" s="21">
        <v>1</v>
      </c>
      <c r="H177" s="21">
        <v>1</v>
      </c>
      <c r="I177" s="21">
        <v>0</v>
      </c>
      <c r="J177" s="21">
        <v>0</v>
      </c>
      <c r="K177" s="21">
        <v>1</v>
      </c>
      <c r="L177" s="21">
        <v>3</v>
      </c>
      <c r="M177" s="21">
        <v>0</v>
      </c>
      <c r="N177" s="199">
        <f t="shared" si="60"/>
        <v>7</v>
      </c>
      <c r="O177" s="22">
        <f t="shared" si="61"/>
        <v>0.58333333333333337</v>
      </c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s="9" customFormat="1" ht="15.75">
      <c r="A178" s="23" t="s">
        <v>21</v>
      </c>
      <c r="B178" s="24">
        <f>IF(SUM(B78:B174)=0,"",SUM(B78:B174))</f>
        <v>157</v>
      </c>
      <c r="C178" s="24">
        <f>IF(SUM(C78:C174)=0,"",SUM(C78:C174))</f>
        <v>148</v>
      </c>
      <c r="D178" s="24">
        <f>IF(SUM(D78:D174)=0,"",SUM(D78:D174))</f>
        <v>124</v>
      </c>
      <c r="E178" s="24">
        <f>IF(SUM(E78:E177)=0,"",SUM(E78:E177))</f>
        <v>77</v>
      </c>
      <c r="F178" s="24">
        <f>IF(SUM(F78:F177)=0,"",SUM(F78:F174))</f>
        <v>49</v>
      </c>
      <c r="G178" s="24">
        <f>IF(SUM(G78:G177)=0,"",SUM(G78:G177))</f>
        <v>66</v>
      </c>
      <c r="H178" s="24">
        <f>IF(SUM(H78:H177)=0,"",SUM(H78:H177))</f>
        <v>99</v>
      </c>
      <c r="I178" s="24">
        <f>IF(SUM(I78:I177)=0,"",SUM(I78:I177))</f>
        <v>158</v>
      </c>
      <c r="J178" s="24">
        <f>IF(SUM(J78:J177)=0,"",SUM(J78:J177))</f>
        <v>142</v>
      </c>
      <c r="K178" s="24">
        <f>SUM(K78:K177)</f>
        <v>195</v>
      </c>
      <c r="L178" s="24">
        <f>SUM(L78:L177)</f>
        <v>213</v>
      </c>
      <c r="M178" s="24">
        <f>IF(SUM(M78:M177)=0,"",SUM(M78:M177))</f>
        <v>193</v>
      </c>
      <c r="N178" s="144">
        <f>SUM(N78:N177)</f>
        <v>1621</v>
      </c>
      <c r="O178" s="25">
        <f>SUM(O78:O177)</f>
        <v>135.08333333333331</v>
      </c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s="9" customFormat="1">
      <c r="A179" s="26"/>
      <c r="B179" s="27"/>
      <c r="C179" s="27"/>
      <c r="D179" s="27"/>
      <c r="E179" s="28"/>
      <c r="F179" s="28"/>
      <c r="G179" s="28"/>
      <c r="H179" s="28"/>
      <c r="I179" s="28"/>
      <c r="J179" s="28"/>
      <c r="K179" s="28"/>
      <c r="L179" s="28"/>
      <c r="M179" s="28"/>
      <c r="N179" s="151"/>
      <c r="O179" s="16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s="9" customFormat="1" ht="15.75">
      <c r="A180" s="187" t="s">
        <v>61</v>
      </c>
      <c r="B180" s="188"/>
      <c r="C180" s="188"/>
      <c r="D180" s="188"/>
      <c r="E180" s="188"/>
      <c r="F180" s="188"/>
      <c r="G180" s="188"/>
      <c r="H180" s="188"/>
      <c r="I180" s="188"/>
      <c r="J180" s="188"/>
      <c r="K180" s="188"/>
      <c r="L180" s="188"/>
      <c r="M180" s="188"/>
      <c r="N180" s="189"/>
      <c r="O180" s="190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s="9" customFormat="1" ht="15.75">
      <c r="A181" s="37" t="s">
        <v>328</v>
      </c>
      <c r="B181" s="21">
        <v>0</v>
      </c>
      <c r="C181" s="21">
        <v>0</v>
      </c>
      <c r="D181" s="21">
        <v>1</v>
      </c>
      <c r="E181" s="21">
        <v>0</v>
      </c>
      <c r="F181" s="21">
        <v>0</v>
      </c>
      <c r="G181" s="21">
        <v>0</v>
      </c>
      <c r="H181" s="38">
        <v>0</v>
      </c>
      <c r="I181" s="38">
        <v>0</v>
      </c>
      <c r="J181" s="21">
        <v>0</v>
      </c>
      <c r="K181" s="21">
        <v>0</v>
      </c>
      <c r="L181" s="21">
        <v>0</v>
      </c>
      <c r="M181" s="21">
        <v>0</v>
      </c>
      <c r="N181" s="150">
        <f>SUM(B181:M181)</f>
        <v>1</v>
      </c>
      <c r="O181" s="22">
        <f>IF(N181=0,0,AVERAGE(B181:M181))</f>
        <v>8.3333333333333329E-2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s="9" customFormat="1" ht="15.75">
      <c r="A182" s="37" t="s">
        <v>62</v>
      </c>
      <c r="B182" s="21">
        <v>11</v>
      </c>
      <c r="C182" s="21">
        <v>9</v>
      </c>
      <c r="D182" s="21">
        <v>8</v>
      </c>
      <c r="E182" s="21">
        <v>5</v>
      </c>
      <c r="F182" s="21">
        <v>3</v>
      </c>
      <c r="G182" s="21">
        <v>4</v>
      </c>
      <c r="H182" s="38">
        <v>14</v>
      </c>
      <c r="I182" s="38">
        <v>17</v>
      </c>
      <c r="J182" s="21">
        <v>8</v>
      </c>
      <c r="K182" s="21">
        <v>11</v>
      </c>
      <c r="L182" s="21">
        <v>18</v>
      </c>
      <c r="M182" s="21">
        <v>11</v>
      </c>
      <c r="N182" s="150">
        <f t="shared" ref="N182:N188" si="62">SUM(B182:M182)</f>
        <v>119</v>
      </c>
      <c r="O182" s="22">
        <f t="shared" ref="O182:O188" si="63">IF(N182=0,0,AVERAGE(B182:M182))</f>
        <v>9.9166666666666661</v>
      </c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s="9" customFormat="1" ht="15.75">
      <c r="A183" s="37" t="s">
        <v>63</v>
      </c>
      <c r="B183" s="21">
        <v>13</v>
      </c>
      <c r="C183" s="21">
        <v>19</v>
      </c>
      <c r="D183" s="21">
        <v>19</v>
      </c>
      <c r="E183" s="21">
        <v>15</v>
      </c>
      <c r="F183" s="21">
        <v>8</v>
      </c>
      <c r="G183" s="21">
        <v>6</v>
      </c>
      <c r="H183" s="39">
        <v>14</v>
      </c>
      <c r="I183" s="39">
        <v>28</v>
      </c>
      <c r="J183" s="21">
        <v>20</v>
      </c>
      <c r="K183" s="21">
        <v>31</v>
      </c>
      <c r="L183" s="21">
        <v>26</v>
      </c>
      <c r="M183" s="21">
        <v>36</v>
      </c>
      <c r="N183" s="150">
        <f t="shared" si="62"/>
        <v>235</v>
      </c>
      <c r="O183" s="22">
        <f t="shared" si="63"/>
        <v>19.583333333333332</v>
      </c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s="9" customFormat="1" ht="15.75">
      <c r="A184" s="37" t="s">
        <v>64</v>
      </c>
      <c r="B184" s="21">
        <v>25</v>
      </c>
      <c r="C184" s="21">
        <v>30</v>
      </c>
      <c r="D184" s="21">
        <v>24</v>
      </c>
      <c r="E184" s="21">
        <v>10</v>
      </c>
      <c r="F184" s="21">
        <v>7</v>
      </c>
      <c r="G184" s="21">
        <v>8</v>
      </c>
      <c r="H184" s="21">
        <v>21</v>
      </c>
      <c r="I184" s="21">
        <v>41</v>
      </c>
      <c r="J184" s="21">
        <v>35</v>
      </c>
      <c r="K184" s="21">
        <v>54</v>
      </c>
      <c r="L184" s="21">
        <v>59</v>
      </c>
      <c r="M184" s="21">
        <v>54</v>
      </c>
      <c r="N184" s="150">
        <f t="shared" si="62"/>
        <v>368</v>
      </c>
      <c r="O184" s="22">
        <f t="shared" si="63"/>
        <v>30.666666666666668</v>
      </c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s="9" customFormat="1" ht="15.75">
      <c r="A185" s="37" t="s">
        <v>65</v>
      </c>
      <c r="B185" s="21">
        <v>37</v>
      </c>
      <c r="C185" s="21">
        <v>30</v>
      </c>
      <c r="D185" s="21">
        <v>23</v>
      </c>
      <c r="E185" s="21">
        <v>10</v>
      </c>
      <c r="F185" s="21">
        <v>12</v>
      </c>
      <c r="G185" s="21">
        <v>14</v>
      </c>
      <c r="H185" s="21">
        <v>17</v>
      </c>
      <c r="I185" s="21">
        <v>28</v>
      </c>
      <c r="J185" s="21">
        <v>29</v>
      </c>
      <c r="K185" s="21">
        <v>43</v>
      </c>
      <c r="L185" s="21">
        <v>51</v>
      </c>
      <c r="M185" s="21">
        <v>36</v>
      </c>
      <c r="N185" s="150">
        <f t="shared" si="62"/>
        <v>330</v>
      </c>
      <c r="O185" s="22">
        <f t="shared" si="63"/>
        <v>27.5</v>
      </c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s="9" customFormat="1" ht="15.75">
      <c r="A186" s="37" t="s">
        <v>66</v>
      </c>
      <c r="B186" s="21">
        <v>35</v>
      </c>
      <c r="C186" s="21">
        <v>29</v>
      </c>
      <c r="D186" s="21">
        <v>22</v>
      </c>
      <c r="E186" s="21">
        <v>20</v>
      </c>
      <c r="F186" s="21">
        <v>3</v>
      </c>
      <c r="G186" s="21">
        <v>16</v>
      </c>
      <c r="H186" s="21">
        <v>17</v>
      </c>
      <c r="I186" s="21">
        <v>23</v>
      </c>
      <c r="J186" s="21">
        <v>27</v>
      </c>
      <c r="K186" s="21">
        <v>37</v>
      </c>
      <c r="L186" s="21">
        <v>37</v>
      </c>
      <c r="M186" s="21">
        <v>25</v>
      </c>
      <c r="N186" s="150">
        <f t="shared" si="62"/>
        <v>291</v>
      </c>
      <c r="O186" s="22">
        <f t="shared" si="63"/>
        <v>24.25</v>
      </c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s="9" customFormat="1" ht="15.75">
      <c r="A187" s="37" t="s">
        <v>67</v>
      </c>
      <c r="B187" s="21">
        <v>26</v>
      </c>
      <c r="C187" s="21">
        <v>19</v>
      </c>
      <c r="D187" s="21">
        <v>15</v>
      </c>
      <c r="E187" s="21">
        <v>8</v>
      </c>
      <c r="F187" s="21">
        <v>11</v>
      </c>
      <c r="G187" s="21">
        <v>15</v>
      </c>
      <c r="H187" s="21">
        <v>10</v>
      </c>
      <c r="I187" s="21">
        <v>14</v>
      </c>
      <c r="J187" s="21">
        <v>16</v>
      </c>
      <c r="K187" s="21">
        <v>16</v>
      </c>
      <c r="L187" s="21">
        <v>17</v>
      </c>
      <c r="M187" s="21">
        <v>26</v>
      </c>
      <c r="N187" s="150">
        <f t="shared" si="62"/>
        <v>193</v>
      </c>
      <c r="O187" s="22">
        <f t="shared" si="63"/>
        <v>16.083333333333332</v>
      </c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s="9" customFormat="1" ht="15.75">
      <c r="A188" s="37" t="s">
        <v>68</v>
      </c>
      <c r="B188" s="21">
        <v>10</v>
      </c>
      <c r="C188" s="21">
        <v>12</v>
      </c>
      <c r="D188" s="21">
        <v>12</v>
      </c>
      <c r="E188" s="21">
        <v>9</v>
      </c>
      <c r="F188" s="21">
        <v>5</v>
      </c>
      <c r="G188" s="21">
        <v>3</v>
      </c>
      <c r="H188" s="21">
        <v>6</v>
      </c>
      <c r="I188" s="21">
        <v>7</v>
      </c>
      <c r="J188" s="21">
        <v>7</v>
      </c>
      <c r="K188" s="21">
        <v>3</v>
      </c>
      <c r="L188" s="21">
        <v>5</v>
      </c>
      <c r="M188" s="21">
        <v>5</v>
      </c>
      <c r="N188" s="150">
        <f t="shared" si="62"/>
        <v>84</v>
      </c>
      <c r="O188" s="22">
        <f t="shared" si="63"/>
        <v>7</v>
      </c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s="9" customFormat="1" ht="15.75">
      <c r="A189" s="23" t="s">
        <v>21</v>
      </c>
      <c r="B189" s="24">
        <f t="shared" ref="B189:M189" si="64">IF(SUM(B181:B188)=0,"",SUM(B181:B188))</f>
        <v>157</v>
      </c>
      <c r="C189" s="24">
        <f t="shared" si="64"/>
        <v>148</v>
      </c>
      <c r="D189" s="24">
        <f t="shared" si="64"/>
        <v>124</v>
      </c>
      <c r="E189" s="24">
        <f t="shared" si="64"/>
        <v>77</v>
      </c>
      <c r="F189" s="24">
        <f t="shared" si="64"/>
        <v>49</v>
      </c>
      <c r="G189" s="24">
        <f t="shared" si="64"/>
        <v>66</v>
      </c>
      <c r="H189" s="24">
        <f t="shared" si="64"/>
        <v>99</v>
      </c>
      <c r="I189" s="24">
        <f t="shared" si="64"/>
        <v>158</v>
      </c>
      <c r="J189" s="24">
        <f t="shared" si="64"/>
        <v>142</v>
      </c>
      <c r="K189" s="24">
        <f t="shared" si="64"/>
        <v>195</v>
      </c>
      <c r="L189" s="24">
        <f t="shared" si="64"/>
        <v>213</v>
      </c>
      <c r="M189" s="24">
        <f t="shared" si="64"/>
        <v>193</v>
      </c>
      <c r="N189" s="144">
        <f>SUM(N181:N188)</f>
        <v>1621</v>
      </c>
      <c r="O189" s="25">
        <f>SUM(O181:O188)</f>
        <v>135.08333333333334</v>
      </c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s="9" customFormat="1">
      <c r="A190" s="26"/>
      <c r="B190" s="27"/>
      <c r="C190" s="27"/>
      <c r="D190" s="27"/>
      <c r="E190" s="28"/>
      <c r="F190" s="28"/>
      <c r="G190" s="28"/>
      <c r="H190" s="28"/>
      <c r="I190" s="28"/>
      <c r="J190" s="28"/>
      <c r="K190" s="28"/>
      <c r="L190" s="28"/>
      <c r="M190" s="28"/>
      <c r="N190" s="151"/>
      <c r="O190" s="16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s="9" customFormat="1" ht="15.75">
      <c r="A191" s="17" t="s">
        <v>69</v>
      </c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152"/>
      <c r="O191" s="31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s="9" customFormat="1" ht="15.75">
      <c r="A192" s="37" t="s">
        <v>29</v>
      </c>
      <c r="B192" s="21">
        <v>0</v>
      </c>
      <c r="C192" s="21">
        <v>1</v>
      </c>
      <c r="D192" s="21">
        <v>1</v>
      </c>
      <c r="E192" s="21">
        <v>4</v>
      </c>
      <c r="F192" s="21">
        <v>1</v>
      </c>
      <c r="G192" s="21">
        <v>10</v>
      </c>
      <c r="H192" s="21">
        <v>5</v>
      </c>
      <c r="I192" s="21">
        <v>0</v>
      </c>
      <c r="J192" s="21">
        <v>3</v>
      </c>
      <c r="K192" s="21">
        <v>1</v>
      </c>
      <c r="L192" s="21">
        <v>0</v>
      </c>
      <c r="M192" s="21">
        <v>1</v>
      </c>
      <c r="N192" s="150">
        <f>SUM(B192:M192)</f>
        <v>27</v>
      </c>
      <c r="O192" s="22">
        <f>IF(N192=0,0,AVERAGE(B192:M192))</f>
        <v>2.25</v>
      </c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s="9" customFormat="1" ht="15.75">
      <c r="A193" s="37" t="s">
        <v>26</v>
      </c>
      <c r="B193" s="21">
        <v>0</v>
      </c>
      <c r="C193" s="21">
        <v>4</v>
      </c>
      <c r="D193" s="21">
        <v>0</v>
      </c>
      <c r="E193" s="21">
        <v>0</v>
      </c>
      <c r="F193" s="21">
        <v>1</v>
      </c>
      <c r="G193" s="21">
        <v>3</v>
      </c>
      <c r="H193" s="21">
        <v>0</v>
      </c>
      <c r="I193" s="21">
        <v>4</v>
      </c>
      <c r="J193" s="21">
        <v>2</v>
      </c>
      <c r="K193" s="21">
        <v>14</v>
      </c>
      <c r="L193" s="21">
        <v>10</v>
      </c>
      <c r="M193" s="21">
        <v>22</v>
      </c>
      <c r="N193" s="150">
        <f t="shared" ref="N193:N207" si="65">SUM(B193:M193)</f>
        <v>60</v>
      </c>
      <c r="O193" s="22">
        <f t="shared" ref="O193:O207" si="66">IF(N193=0,0,AVERAGE(B193:M193))</f>
        <v>5</v>
      </c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s="9" customFormat="1" ht="15.75">
      <c r="A194" s="37" t="s">
        <v>321</v>
      </c>
      <c r="B194" s="21">
        <v>0</v>
      </c>
      <c r="C194" s="21">
        <v>1</v>
      </c>
      <c r="D194" s="21">
        <v>1</v>
      </c>
      <c r="E194" s="21">
        <v>0</v>
      </c>
      <c r="F194" s="21">
        <v>0</v>
      </c>
      <c r="G194" s="21">
        <v>0</v>
      </c>
      <c r="H194" s="21">
        <v>0</v>
      </c>
      <c r="I194" s="21">
        <v>0</v>
      </c>
      <c r="J194" s="21">
        <v>0</v>
      </c>
      <c r="K194" s="21">
        <v>1</v>
      </c>
      <c r="L194" s="21">
        <v>0</v>
      </c>
      <c r="M194" s="21">
        <v>2</v>
      </c>
      <c r="N194" s="150">
        <f t="shared" si="65"/>
        <v>5</v>
      </c>
      <c r="O194" s="22">
        <f t="shared" si="66"/>
        <v>0.41666666666666669</v>
      </c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s="9" customFormat="1" ht="15.75">
      <c r="A195" s="37" t="s">
        <v>25</v>
      </c>
      <c r="B195" s="21">
        <v>64</v>
      </c>
      <c r="C195" s="21">
        <v>80</v>
      </c>
      <c r="D195" s="21">
        <v>67</v>
      </c>
      <c r="E195" s="21">
        <v>14</v>
      </c>
      <c r="F195" s="21">
        <v>2</v>
      </c>
      <c r="G195" s="21">
        <v>5</v>
      </c>
      <c r="H195" s="21">
        <v>16</v>
      </c>
      <c r="I195" s="21">
        <v>79</v>
      </c>
      <c r="J195" s="21">
        <v>63</v>
      </c>
      <c r="K195" s="21">
        <v>139</v>
      </c>
      <c r="L195" s="21">
        <v>123</v>
      </c>
      <c r="M195" s="21">
        <v>134</v>
      </c>
      <c r="N195" s="150">
        <f t="shared" si="65"/>
        <v>786</v>
      </c>
      <c r="O195" s="22">
        <f t="shared" si="66"/>
        <v>65.5</v>
      </c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s="9" customFormat="1" ht="15.75">
      <c r="A196" s="37" t="s">
        <v>27</v>
      </c>
      <c r="B196" s="21">
        <v>7</v>
      </c>
      <c r="C196" s="21">
        <v>1</v>
      </c>
      <c r="D196" s="21">
        <v>1</v>
      </c>
      <c r="E196" s="21">
        <v>1</v>
      </c>
      <c r="F196" s="21">
        <v>0</v>
      </c>
      <c r="G196" s="21">
        <v>1</v>
      </c>
      <c r="H196" s="21">
        <v>0</v>
      </c>
      <c r="I196" s="21">
        <v>0</v>
      </c>
      <c r="J196" s="21">
        <v>1</v>
      </c>
      <c r="K196" s="21">
        <v>1</v>
      </c>
      <c r="L196" s="21">
        <v>0</v>
      </c>
      <c r="M196" s="21">
        <v>0</v>
      </c>
      <c r="N196" s="150">
        <f t="shared" si="65"/>
        <v>13</v>
      </c>
      <c r="O196" s="22">
        <f t="shared" si="66"/>
        <v>1.0833333333333333</v>
      </c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s="9" customFormat="1" ht="15.75">
      <c r="A197" s="37" t="s">
        <v>101</v>
      </c>
      <c r="B197" s="21">
        <v>0</v>
      </c>
      <c r="C197" s="21">
        <v>1</v>
      </c>
      <c r="D197" s="21">
        <v>0</v>
      </c>
      <c r="E197" s="21">
        <v>0</v>
      </c>
      <c r="F197" s="21">
        <v>2</v>
      </c>
      <c r="G197" s="21">
        <v>0</v>
      </c>
      <c r="H197" s="21">
        <v>1</v>
      </c>
      <c r="I197" s="21">
        <v>0</v>
      </c>
      <c r="J197" s="21">
        <v>1</v>
      </c>
      <c r="K197" s="21">
        <v>0</v>
      </c>
      <c r="L197" s="21">
        <v>0</v>
      </c>
      <c r="M197" s="21">
        <v>0</v>
      </c>
      <c r="N197" s="150">
        <f t="shared" si="65"/>
        <v>5</v>
      </c>
      <c r="O197" s="22">
        <f t="shared" si="66"/>
        <v>0.41666666666666669</v>
      </c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s="9" customFormat="1" ht="15.75">
      <c r="A198" s="40" t="s">
        <v>19</v>
      </c>
      <c r="B198" s="21">
        <v>22</v>
      </c>
      <c r="C198" s="21">
        <v>17</v>
      </c>
      <c r="D198" s="21">
        <v>28</v>
      </c>
      <c r="E198" s="21">
        <v>14</v>
      </c>
      <c r="F198" s="21">
        <v>15</v>
      </c>
      <c r="G198" s="21">
        <v>18</v>
      </c>
      <c r="H198" s="21">
        <v>36</v>
      </c>
      <c r="I198" s="21">
        <v>16</v>
      </c>
      <c r="J198" s="21">
        <f>24+4</f>
        <v>28</v>
      </c>
      <c r="K198" s="21">
        <f>19+4</f>
        <v>23</v>
      </c>
      <c r="L198" s="21">
        <f>10+20+4</f>
        <v>34</v>
      </c>
      <c r="M198" s="21">
        <v>19</v>
      </c>
      <c r="N198" s="150">
        <f t="shared" si="65"/>
        <v>270</v>
      </c>
      <c r="O198" s="22">
        <f t="shared" si="66"/>
        <v>22.5</v>
      </c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s="9" customFormat="1" ht="15.75">
      <c r="A199" s="37" t="s">
        <v>28</v>
      </c>
      <c r="B199" s="21">
        <v>6</v>
      </c>
      <c r="C199" s="21">
        <v>6</v>
      </c>
      <c r="D199" s="21">
        <v>2</v>
      </c>
      <c r="E199" s="21">
        <v>1</v>
      </c>
      <c r="F199" s="21">
        <v>0</v>
      </c>
      <c r="G199" s="21">
        <v>0</v>
      </c>
      <c r="H199" s="21">
        <v>2</v>
      </c>
      <c r="I199" s="21">
        <v>9</v>
      </c>
      <c r="J199" s="21">
        <v>4</v>
      </c>
      <c r="K199" s="21">
        <v>4</v>
      </c>
      <c r="L199" s="21">
        <v>11</v>
      </c>
      <c r="M199" s="21">
        <v>8</v>
      </c>
      <c r="N199" s="150">
        <f t="shared" si="65"/>
        <v>53</v>
      </c>
      <c r="O199" s="22">
        <f t="shared" si="66"/>
        <v>4.416666666666667</v>
      </c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s="9" customFormat="1" ht="15.75">
      <c r="A200" s="37" t="s">
        <v>124</v>
      </c>
      <c r="B200" s="21">
        <v>0</v>
      </c>
      <c r="C200" s="21">
        <v>0</v>
      </c>
      <c r="D200" s="21">
        <v>0</v>
      </c>
      <c r="E200" s="21">
        <v>0</v>
      </c>
      <c r="F200" s="21">
        <v>0</v>
      </c>
      <c r="G200" s="21">
        <v>0</v>
      </c>
      <c r="H200" s="21">
        <v>0</v>
      </c>
      <c r="I200" s="21">
        <v>0</v>
      </c>
      <c r="J200" s="21">
        <v>0</v>
      </c>
      <c r="K200" s="21">
        <v>0</v>
      </c>
      <c r="L200" s="21">
        <v>0</v>
      </c>
      <c r="M200" s="21">
        <v>0</v>
      </c>
      <c r="N200" s="150">
        <f t="shared" si="65"/>
        <v>0</v>
      </c>
      <c r="O200" s="22">
        <f t="shared" si="66"/>
        <v>0</v>
      </c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s="9" customFormat="1" ht="15.75">
      <c r="A201" s="37" t="s">
        <v>31</v>
      </c>
      <c r="B201" s="21">
        <v>8</v>
      </c>
      <c r="C201" s="21">
        <v>2</v>
      </c>
      <c r="D201" s="21">
        <v>2</v>
      </c>
      <c r="E201" s="21">
        <v>1</v>
      </c>
      <c r="F201" s="21">
        <v>1</v>
      </c>
      <c r="G201" s="21">
        <v>0</v>
      </c>
      <c r="H201" s="21">
        <v>0</v>
      </c>
      <c r="I201" s="21">
        <v>4</v>
      </c>
      <c r="J201" s="21">
        <v>4</v>
      </c>
      <c r="K201" s="21">
        <v>1</v>
      </c>
      <c r="L201" s="21">
        <v>1</v>
      </c>
      <c r="M201" s="21">
        <v>1</v>
      </c>
      <c r="N201" s="150">
        <f t="shared" si="65"/>
        <v>25</v>
      </c>
      <c r="O201" s="22">
        <f t="shared" si="66"/>
        <v>2.0833333333333335</v>
      </c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s="9" customFormat="1" ht="15.75">
      <c r="A202" s="37" t="s">
        <v>395</v>
      </c>
      <c r="B202" s="21">
        <v>2</v>
      </c>
      <c r="C202" s="21">
        <v>4</v>
      </c>
      <c r="D202" s="21">
        <v>4</v>
      </c>
      <c r="E202" s="21">
        <v>0</v>
      </c>
      <c r="F202" s="21">
        <v>0</v>
      </c>
      <c r="G202" s="21">
        <v>0</v>
      </c>
      <c r="H202" s="21">
        <v>0</v>
      </c>
      <c r="I202" s="21">
        <v>3</v>
      </c>
      <c r="J202" s="21">
        <v>7</v>
      </c>
      <c r="K202" s="21">
        <v>3</v>
      </c>
      <c r="L202" s="21">
        <v>0</v>
      </c>
      <c r="M202" s="21">
        <v>0</v>
      </c>
      <c r="N202" s="150">
        <f t="shared" si="65"/>
        <v>23</v>
      </c>
      <c r="O202" s="22">
        <f t="shared" si="66"/>
        <v>1.9166666666666667</v>
      </c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s="9" customFormat="1" ht="15.75">
      <c r="A203" s="37" t="s">
        <v>125</v>
      </c>
      <c r="B203" s="21">
        <v>3</v>
      </c>
      <c r="C203" s="21">
        <v>5</v>
      </c>
      <c r="D203" s="21">
        <v>1</v>
      </c>
      <c r="E203" s="21">
        <v>1</v>
      </c>
      <c r="F203" s="21">
        <v>0</v>
      </c>
      <c r="G203" s="21">
        <v>2</v>
      </c>
      <c r="H203" s="21">
        <v>1</v>
      </c>
      <c r="I203" s="21">
        <v>5</v>
      </c>
      <c r="J203" s="21">
        <v>3</v>
      </c>
      <c r="K203" s="21">
        <v>4</v>
      </c>
      <c r="L203" s="21">
        <v>1</v>
      </c>
      <c r="M203" s="21">
        <v>0</v>
      </c>
      <c r="N203" s="150">
        <f t="shared" si="65"/>
        <v>26</v>
      </c>
      <c r="O203" s="22">
        <f t="shared" si="66"/>
        <v>2.1666666666666665</v>
      </c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s="9" customFormat="1" ht="15.75">
      <c r="A204" s="37" t="s">
        <v>32</v>
      </c>
      <c r="B204" s="21">
        <v>1</v>
      </c>
      <c r="C204" s="21">
        <v>3</v>
      </c>
      <c r="D204" s="21">
        <v>4</v>
      </c>
      <c r="E204" s="21">
        <v>0</v>
      </c>
      <c r="F204" s="21">
        <v>0</v>
      </c>
      <c r="G204" s="21">
        <v>0</v>
      </c>
      <c r="H204" s="21">
        <v>1</v>
      </c>
      <c r="I204" s="21">
        <v>0</v>
      </c>
      <c r="J204" s="21">
        <v>3</v>
      </c>
      <c r="K204" s="21">
        <v>0</v>
      </c>
      <c r="L204" s="21">
        <v>1</v>
      </c>
      <c r="M204" s="21">
        <v>2</v>
      </c>
      <c r="N204" s="150">
        <f t="shared" si="65"/>
        <v>15</v>
      </c>
      <c r="O204" s="22">
        <f t="shared" si="66"/>
        <v>1.25</v>
      </c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s="9" customFormat="1" ht="15.75">
      <c r="A205" s="37" t="s">
        <v>389</v>
      </c>
      <c r="B205" s="21">
        <v>0</v>
      </c>
      <c r="C205" s="21">
        <v>0</v>
      </c>
      <c r="D205" s="21">
        <v>0</v>
      </c>
      <c r="E205" s="21">
        <v>0</v>
      </c>
      <c r="F205" s="21">
        <v>0</v>
      </c>
      <c r="G205" s="21">
        <v>0</v>
      </c>
      <c r="H205" s="21">
        <v>0</v>
      </c>
      <c r="I205" s="21">
        <v>0</v>
      </c>
      <c r="J205" s="21">
        <v>0</v>
      </c>
      <c r="K205" s="21">
        <v>0</v>
      </c>
      <c r="L205" s="21">
        <v>0</v>
      </c>
      <c r="M205" s="21">
        <v>0</v>
      </c>
      <c r="N205" s="150">
        <f t="shared" si="65"/>
        <v>0</v>
      </c>
      <c r="O205" s="22">
        <f t="shared" si="66"/>
        <v>0</v>
      </c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s="9" customFormat="1" ht="15.75">
      <c r="A206" s="37" t="s">
        <v>33</v>
      </c>
      <c r="B206" s="21">
        <v>0</v>
      </c>
      <c r="C206" s="21">
        <v>0</v>
      </c>
      <c r="D206" s="21">
        <v>0</v>
      </c>
      <c r="E206" s="21">
        <v>2</v>
      </c>
      <c r="F206" s="21">
        <v>1</v>
      </c>
      <c r="G206" s="21">
        <v>1</v>
      </c>
      <c r="H206" s="21">
        <v>0</v>
      </c>
      <c r="I206" s="21">
        <v>0</v>
      </c>
      <c r="J206" s="21">
        <v>0</v>
      </c>
      <c r="K206" s="21">
        <v>0</v>
      </c>
      <c r="L206" s="21">
        <v>0</v>
      </c>
      <c r="M206" s="21">
        <v>0</v>
      </c>
      <c r="N206" s="150">
        <f t="shared" si="65"/>
        <v>4</v>
      </c>
      <c r="O206" s="22">
        <f t="shared" si="66"/>
        <v>0.33333333333333331</v>
      </c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s="9" customFormat="1" ht="15.75">
      <c r="A207" s="37" t="s">
        <v>34</v>
      </c>
      <c r="B207" s="21">
        <v>7</v>
      </c>
      <c r="C207" s="21">
        <v>6</v>
      </c>
      <c r="D207" s="21">
        <v>5</v>
      </c>
      <c r="E207" s="21">
        <v>9</v>
      </c>
      <c r="F207" s="21">
        <v>2</v>
      </c>
      <c r="G207" s="21">
        <v>7</v>
      </c>
      <c r="H207" s="21">
        <v>7</v>
      </c>
      <c r="I207" s="21">
        <v>4</v>
      </c>
      <c r="J207" s="21">
        <v>2</v>
      </c>
      <c r="K207" s="21">
        <v>1</v>
      </c>
      <c r="L207" s="21">
        <v>3</v>
      </c>
      <c r="M207" s="21">
        <v>1</v>
      </c>
      <c r="N207" s="150">
        <f t="shared" si="65"/>
        <v>54</v>
      </c>
      <c r="O207" s="22">
        <f t="shared" si="66"/>
        <v>4.5</v>
      </c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s="9" customFormat="1" ht="15.75">
      <c r="A208" s="37" t="s">
        <v>35</v>
      </c>
      <c r="B208" s="21">
        <v>5</v>
      </c>
      <c r="C208" s="21">
        <v>9</v>
      </c>
      <c r="D208" s="21">
        <v>7</v>
      </c>
      <c r="E208" s="21">
        <v>10</v>
      </c>
      <c r="F208" s="21">
        <v>3</v>
      </c>
      <c r="G208" s="21">
        <v>8</v>
      </c>
      <c r="H208" s="21">
        <v>10</v>
      </c>
      <c r="I208" s="21">
        <v>12</v>
      </c>
      <c r="J208" s="21">
        <v>12</v>
      </c>
      <c r="K208" s="21">
        <v>3</v>
      </c>
      <c r="L208" s="21">
        <v>3</v>
      </c>
      <c r="M208" s="21">
        <v>3</v>
      </c>
      <c r="N208" s="150">
        <f>SUM(B208:M208)</f>
        <v>85</v>
      </c>
      <c r="O208" s="22">
        <f>IF(N208=0,0,AVERAGE(B208:M208))</f>
        <v>7.083333333333333</v>
      </c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s="9" customFormat="1" ht="15.75">
      <c r="A209" s="23" t="s">
        <v>21</v>
      </c>
      <c r="B209" s="24">
        <f t="shared" ref="B209:M209" si="67">IF(SUM(B192:B208)=0,"",SUM(B192:B208))</f>
        <v>125</v>
      </c>
      <c r="C209" s="24">
        <f t="shared" si="67"/>
        <v>140</v>
      </c>
      <c r="D209" s="24">
        <f t="shared" si="67"/>
        <v>123</v>
      </c>
      <c r="E209" s="24">
        <f t="shared" ref="E209" si="68">IF(SUM(E192:E208)=0,"",SUM(E192:E208))</f>
        <v>57</v>
      </c>
      <c r="F209" s="24">
        <f t="shared" si="67"/>
        <v>28</v>
      </c>
      <c r="G209" s="24">
        <f t="shared" ref="G209" si="69">IF(SUM(G192:G208)=0,"",SUM(G192:G208))</f>
        <v>55</v>
      </c>
      <c r="H209" s="24">
        <f t="shared" si="67"/>
        <v>79</v>
      </c>
      <c r="I209" s="24">
        <f t="shared" si="67"/>
        <v>136</v>
      </c>
      <c r="J209" s="24">
        <f t="shared" si="67"/>
        <v>133</v>
      </c>
      <c r="K209" s="24">
        <f t="shared" si="67"/>
        <v>195</v>
      </c>
      <c r="L209" s="24">
        <f t="shared" si="67"/>
        <v>187</v>
      </c>
      <c r="M209" s="24">
        <f t="shared" si="67"/>
        <v>193</v>
      </c>
      <c r="N209" s="144">
        <f>SUM(N192:N208)</f>
        <v>1451</v>
      </c>
      <c r="O209" s="25">
        <f>SUM(O192:O208)</f>
        <v>120.91666666666667</v>
      </c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s="9" customFormat="1">
      <c r="A210" s="26"/>
      <c r="B210" s="27"/>
      <c r="C210" s="27"/>
      <c r="D210" s="27"/>
      <c r="E210" s="28"/>
      <c r="F210" s="28"/>
      <c r="G210" s="28"/>
      <c r="H210" s="28"/>
      <c r="I210" s="28"/>
      <c r="J210" s="28"/>
      <c r="K210" s="28"/>
      <c r="L210" s="28"/>
      <c r="M210" s="28"/>
      <c r="N210" s="151"/>
      <c r="O210" s="16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s="9" customFormat="1" ht="15.75">
      <c r="A211" s="187" t="s">
        <v>705</v>
      </c>
      <c r="B211" s="188"/>
      <c r="C211" s="188"/>
      <c r="D211" s="188"/>
      <c r="E211" s="188"/>
      <c r="F211" s="188"/>
      <c r="G211" s="188"/>
      <c r="H211" s="188"/>
      <c r="I211" s="188"/>
      <c r="J211" s="188"/>
      <c r="K211" s="188"/>
      <c r="L211" s="188"/>
      <c r="M211" s="188"/>
      <c r="N211" s="189"/>
      <c r="O211" s="190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s="9" customFormat="1" ht="15.75">
      <c r="A212" s="40" t="s">
        <v>18</v>
      </c>
      <c r="B212" s="21">
        <v>80</v>
      </c>
      <c r="C212" s="21">
        <v>98</v>
      </c>
      <c r="D212" s="21">
        <v>77</v>
      </c>
      <c r="E212" s="21">
        <v>16</v>
      </c>
      <c r="F212" s="21">
        <v>3</v>
      </c>
      <c r="G212" s="21">
        <v>20</v>
      </c>
      <c r="H212" s="21">
        <v>28</v>
      </c>
      <c r="I212" s="21">
        <v>93</v>
      </c>
      <c r="J212" s="21">
        <v>85</v>
      </c>
      <c r="K212" s="21">
        <v>84</v>
      </c>
      <c r="L212" s="21">
        <v>166</v>
      </c>
      <c r="M212" s="21">
        <v>174</v>
      </c>
      <c r="N212" s="150">
        <f>SUM(B212:M212)</f>
        <v>924</v>
      </c>
      <c r="O212" s="22">
        <f>IF(N212=0,0,AVERAGE(B212:M212))</f>
        <v>77</v>
      </c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s="9" customFormat="1" ht="15.75">
      <c r="A213" s="40" t="s">
        <v>19</v>
      </c>
      <c r="B213" s="21">
        <v>45</v>
      </c>
      <c r="C213" s="21">
        <v>42</v>
      </c>
      <c r="D213" s="21">
        <v>46</v>
      </c>
      <c r="E213" s="21">
        <v>41</v>
      </c>
      <c r="F213" s="21">
        <v>25</v>
      </c>
      <c r="G213" s="21">
        <v>35</v>
      </c>
      <c r="H213" s="21">
        <v>51</v>
      </c>
      <c r="I213" s="21">
        <v>43</v>
      </c>
      <c r="J213" s="21">
        <v>48</v>
      </c>
      <c r="K213" s="21">
        <v>111</v>
      </c>
      <c r="L213" s="21">
        <v>21</v>
      </c>
      <c r="M213" s="21">
        <v>19</v>
      </c>
      <c r="N213" s="150">
        <f>SUM(B213:M213)</f>
        <v>527</v>
      </c>
      <c r="O213" s="22">
        <f>IF(N213=0,0,AVERAGE(B213:M213))</f>
        <v>43.916666666666664</v>
      </c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s="9" customFormat="1" ht="15.75">
      <c r="A214" s="40" t="s">
        <v>20</v>
      </c>
      <c r="B214" s="21">
        <v>0</v>
      </c>
      <c r="C214" s="21">
        <v>0</v>
      </c>
      <c r="D214" s="21">
        <v>0</v>
      </c>
      <c r="E214" s="21">
        <v>0</v>
      </c>
      <c r="F214" s="21">
        <v>0</v>
      </c>
      <c r="G214" s="21">
        <v>0</v>
      </c>
      <c r="H214" s="21">
        <v>0</v>
      </c>
      <c r="I214" s="21">
        <v>0</v>
      </c>
      <c r="J214" s="21">
        <v>0</v>
      </c>
      <c r="K214" s="21">
        <v>0</v>
      </c>
      <c r="L214" s="21">
        <v>0</v>
      </c>
      <c r="M214" s="21">
        <v>0</v>
      </c>
      <c r="N214" s="150">
        <f>SUM(B214:M214)</f>
        <v>0</v>
      </c>
      <c r="O214" s="22">
        <f>IF(N214=0,0,AVERAGE(B214:M214))</f>
        <v>0</v>
      </c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s="9" customFormat="1" ht="15.75">
      <c r="A215" s="23" t="s">
        <v>21</v>
      </c>
      <c r="B215" s="24">
        <f t="shared" ref="B215:M215" si="70">IF(SUM(B212:B214)=0,"",SUM(B212:B214))</f>
        <v>125</v>
      </c>
      <c r="C215" s="24">
        <f t="shared" si="70"/>
        <v>140</v>
      </c>
      <c r="D215" s="24">
        <f t="shared" si="70"/>
        <v>123</v>
      </c>
      <c r="E215" s="24">
        <f t="shared" si="70"/>
        <v>57</v>
      </c>
      <c r="F215" s="24">
        <f t="shared" ref="F215:G215" si="71">IF(SUM(F212:F214)=0,"",SUM(F212:F214))</f>
        <v>28</v>
      </c>
      <c r="G215" s="24">
        <f t="shared" si="71"/>
        <v>55</v>
      </c>
      <c r="H215" s="24">
        <f t="shared" si="70"/>
        <v>79</v>
      </c>
      <c r="I215" s="24">
        <f t="shared" si="70"/>
        <v>136</v>
      </c>
      <c r="J215" s="24">
        <f t="shared" si="70"/>
        <v>133</v>
      </c>
      <c r="K215" s="24">
        <f t="shared" si="70"/>
        <v>195</v>
      </c>
      <c r="L215" s="24">
        <f t="shared" si="70"/>
        <v>187</v>
      </c>
      <c r="M215" s="24">
        <f t="shared" si="70"/>
        <v>193</v>
      </c>
      <c r="N215" s="144">
        <f>SUM(N212:N214)</f>
        <v>1451</v>
      </c>
      <c r="O215" s="25">
        <f>SUM(O212:O214)</f>
        <v>120.91666666666666</v>
      </c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s="9" customFormat="1">
      <c r="A216" s="26"/>
      <c r="B216" s="27" t="s">
        <v>70</v>
      </c>
      <c r="C216" s="27"/>
      <c r="D216" s="27"/>
      <c r="E216" s="28"/>
      <c r="F216" s="28"/>
      <c r="G216" s="28"/>
      <c r="H216" s="28"/>
      <c r="I216" s="28"/>
      <c r="J216" s="28"/>
      <c r="K216" s="28"/>
      <c r="L216" s="28"/>
      <c r="M216" s="28"/>
      <c r="N216" s="151"/>
      <c r="O216" s="16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s="9" customFormat="1" ht="15.75">
      <c r="A217" s="187" t="s">
        <v>71</v>
      </c>
      <c r="B217" s="188"/>
      <c r="C217" s="188"/>
      <c r="D217" s="188"/>
      <c r="E217" s="188"/>
      <c r="F217" s="188"/>
      <c r="G217" s="188"/>
      <c r="H217" s="188"/>
      <c r="I217" s="188"/>
      <c r="J217" s="188"/>
      <c r="K217" s="188"/>
      <c r="L217" s="188"/>
      <c r="M217" s="188"/>
      <c r="N217" s="189"/>
      <c r="O217" s="190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s="9" customFormat="1" ht="15.75">
      <c r="A218" s="37" t="s">
        <v>29</v>
      </c>
      <c r="B218" s="21">
        <v>0</v>
      </c>
      <c r="C218" s="21">
        <v>0</v>
      </c>
      <c r="D218" s="21">
        <v>0</v>
      </c>
      <c r="E218" s="21">
        <v>0</v>
      </c>
      <c r="F218" s="21">
        <v>0</v>
      </c>
      <c r="G218" s="21">
        <v>0</v>
      </c>
      <c r="H218" s="21">
        <v>0</v>
      </c>
      <c r="I218" s="21">
        <v>0</v>
      </c>
      <c r="J218" s="21">
        <v>0</v>
      </c>
      <c r="K218" s="21">
        <v>0</v>
      </c>
      <c r="L218" s="21">
        <v>0</v>
      </c>
      <c r="M218" s="21">
        <v>0</v>
      </c>
      <c r="N218" s="150">
        <f>SUM(B218:M218)</f>
        <v>0</v>
      </c>
      <c r="O218" s="22">
        <f>IF(N218=0,0,AVERAGE(B218:M218))</f>
        <v>0</v>
      </c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s="9" customFormat="1" ht="15.75">
      <c r="A219" s="37" t="s">
        <v>26</v>
      </c>
      <c r="B219" s="21">
        <v>0</v>
      </c>
      <c r="C219" s="21">
        <v>0</v>
      </c>
      <c r="D219" s="21">
        <v>0</v>
      </c>
      <c r="E219" s="21">
        <v>0</v>
      </c>
      <c r="F219" s="21">
        <v>0</v>
      </c>
      <c r="G219" s="21">
        <v>0</v>
      </c>
      <c r="H219" s="21">
        <v>0</v>
      </c>
      <c r="I219" s="21">
        <v>0</v>
      </c>
      <c r="J219" s="21">
        <v>0</v>
      </c>
      <c r="K219" s="21">
        <v>0</v>
      </c>
      <c r="L219" s="21">
        <v>0</v>
      </c>
      <c r="M219" s="21">
        <v>0</v>
      </c>
      <c r="N219" s="150">
        <f t="shared" ref="N219:N234" si="72">SUM(B219:M219)</f>
        <v>0</v>
      </c>
      <c r="O219" s="22">
        <f t="shared" ref="O219:O234" si="73">IF(N219=0,0,AVERAGE(B219:M219))</f>
        <v>0</v>
      </c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s="9" customFormat="1" ht="15.75">
      <c r="A220" s="37" t="s">
        <v>321</v>
      </c>
      <c r="B220" s="21">
        <v>0</v>
      </c>
      <c r="C220" s="21">
        <v>0</v>
      </c>
      <c r="D220" s="21">
        <v>0</v>
      </c>
      <c r="E220" s="21">
        <v>0</v>
      </c>
      <c r="F220" s="21">
        <v>0</v>
      </c>
      <c r="G220" s="21">
        <v>0</v>
      </c>
      <c r="H220" s="21">
        <v>0</v>
      </c>
      <c r="I220" s="21">
        <v>0</v>
      </c>
      <c r="J220" s="21">
        <v>0</v>
      </c>
      <c r="K220" s="21">
        <v>0</v>
      </c>
      <c r="L220" s="21">
        <v>0</v>
      </c>
      <c r="M220" s="21">
        <v>0</v>
      </c>
      <c r="N220" s="150">
        <f t="shared" si="72"/>
        <v>0</v>
      </c>
      <c r="O220" s="22">
        <f t="shared" si="73"/>
        <v>0</v>
      </c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s="9" customFormat="1" ht="15.75">
      <c r="A221" s="37" t="s">
        <v>25</v>
      </c>
      <c r="B221" s="21">
        <v>0</v>
      </c>
      <c r="C221" s="21">
        <v>0</v>
      </c>
      <c r="D221" s="21">
        <v>0</v>
      </c>
      <c r="E221" s="21">
        <v>0</v>
      </c>
      <c r="F221" s="21">
        <v>0</v>
      </c>
      <c r="G221" s="21">
        <v>0</v>
      </c>
      <c r="H221" s="21">
        <v>0</v>
      </c>
      <c r="I221" s="21">
        <v>0</v>
      </c>
      <c r="J221" s="21">
        <v>0</v>
      </c>
      <c r="K221" s="21">
        <v>0</v>
      </c>
      <c r="L221" s="21">
        <v>0</v>
      </c>
      <c r="M221" s="21">
        <v>0</v>
      </c>
      <c r="N221" s="150">
        <f t="shared" si="72"/>
        <v>0</v>
      </c>
      <c r="O221" s="22">
        <f t="shared" si="73"/>
        <v>0</v>
      </c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s="9" customFormat="1" ht="15.75">
      <c r="A222" s="37" t="s">
        <v>27</v>
      </c>
      <c r="B222" s="21">
        <v>0</v>
      </c>
      <c r="C222" s="21">
        <v>0</v>
      </c>
      <c r="D222" s="21">
        <v>0</v>
      </c>
      <c r="E222" s="21">
        <v>0</v>
      </c>
      <c r="F222" s="21">
        <v>0</v>
      </c>
      <c r="G222" s="21">
        <v>0</v>
      </c>
      <c r="H222" s="21">
        <v>0</v>
      </c>
      <c r="I222" s="21">
        <v>0</v>
      </c>
      <c r="J222" s="21">
        <v>0</v>
      </c>
      <c r="K222" s="21">
        <v>0</v>
      </c>
      <c r="L222" s="21">
        <v>0</v>
      </c>
      <c r="M222" s="21">
        <v>0</v>
      </c>
      <c r="N222" s="150">
        <f t="shared" si="72"/>
        <v>0</v>
      </c>
      <c r="O222" s="22">
        <f t="shared" si="73"/>
        <v>0</v>
      </c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s="9" customFormat="1" ht="15.75">
      <c r="A223" s="37" t="s">
        <v>101</v>
      </c>
      <c r="B223" s="21">
        <v>0</v>
      </c>
      <c r="C223" s="21">
        <v>0</v>
      </c>
      <c r="D223" s="21">
        <v>0</v>
      </c>
      <c r="E223" s="21">
        <v>0</v>
      </c>
      <c r="F223" s="21">
        <v>0</v>
      </c>
      <c r="G223" s="21">
        <v>2</v>
      </c>
      <c r="H223" s="21">
        <v>0</v>
      </c>
      <c r="I223" s="21">
        <v>0</v>
      </c>
      <c r="J223" s="21">
        <v>0</v>
      </c>
      <c r="K223" s="21">
        <v>0</v>
      </c>
      <c r="L223" s="21">
        <v>0</v>
      </c>
      <c r="M223" s="21">
        <v>0</v>
      </c>
      <c r="N223" s="150">
        <f t="shared" si="72"/>
        <v>2</v>
      </c>
      <c r="O223" s="22">
        <f t="shared" si="73"/>
        <v>0.16666666666666666</v>
      </c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s="9" customFormat="1" ht="15.75">
      <c r="A224" s="40" t="s">
        <v>19</v>
      </c>
      <c r="B224" s="21">
        <v>1</v>
      </c>
      <c r="C224" s="21">
        <v>1</v>
      </c>
      <c r="D224" s="21">
        <v>1</v>
      </c>
      <c r="E224" s="21">
        <v>6</v>
      </c>
      <c r="F224" s="21">
        <v>3</v>
      </c>
      <c r="G224" s="21">
        <v>2</v>
      </c>
      <c r="H224" s="21">
        <v>5</v>
      </c>
      <c r="I224" s="21">
        <v>2</v>
      </c>
      <c r="J224" s="21">
        <v>1</v>
      </c>
      <c r="K224" s="21">
        <f>5+1</f>
        <v>6</v>
      </c>
      <c r="L224" s="21">
        <v>2</v>
      </c>
      <c r="M224" s="21">
        <v>5</v>
      </c>
      <c r="N224" s="150">
        <f t="shared" si="72"/>
        <v>35</v>
      </c>
      <c r="O224" s="22">
        <f t="shared" si="73"/>
        <v>2.9166666666666665</v>
      </c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s="9" customFormat="1" ht="15.75">
      <c r="A225" s="37" t="s">
        <v>28</v>
      </c>
      <c r="B225" s="21">
        <v>0</v>
      </c>
      <c r="C225" s="21">
        <v>0</v>
      </c>
      <c r="D225" s="21">
        <v>0</v>
      </c>
      <c r="E225" s="21">
        <v>0</v>
      </c>
      <c r="F225" s="21">
        <v>0</v>
      </c>
      <c r="G225" s="21">
        <v>0</v>
      </c>
      <c r="H225" s="21">
        <v>0</v>
      </c>
      <c r="I225" s="21">
        <v>0</v>
      </c>
      <c r="J225" s="21">
        <v>0</v>
      </c>
      <c r="K225" s="21">
        <v>0</v>
      </c>
      <c r="L225" s="21">
        <v>0</v>
      </c>
      <c r="M225" s="21">
        <v>0</v>
      </c>
      <c r="N225" s="150">
        <f t="shared" si="72"/>
        <v>0</v>
      </c>
      <c r="O225" s="22">
        <f t="shared" si="73"/>
        <v>0</v>
      </c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s="9" customFormat="1" ht="15.75">
      <c r="A226" s="37" t="s">
        <v>124</v>
      </c>
      <c r="B226" s="21">
        <v>0</v>
      </c>
      <c r="C226" s="21">
        <v>0</v>
      </c>
      <c r="D226" s="21">
        <v>0</v>
      </c>
      <c r="E226" s="21">
        <v>0</v>
      </c>
      <c r="F226" s="21">
        <v>0</v>
      </c>
      <c r="G226" s="21">
        <v>0</v>
      </c>
      <c r="H226" s="21">
        <v>0</v>
      </c>
      <c r="I226" s="21">
        <v>0</v>
      </c>
      <c r="J226" s="21">
        <v>0</v>
      </c>
      <c r="K226" s="21">
        <v>0</v>
      </c>
      <c r="L226" s="21">
        <v>0</v>
      </c>
      <c r="M226" s="21">
        <v>0</v>
      </c>
      <c r="N226" s="150">
        <f t="shared" si="72"/>
        <v>0</v>
      </c>
      <c r="O226" s="22">
        <f t="shared" si="73"/>
        <v>0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s="9" customFormat="1" ht="15.75">
      <c r="A227" s="37" t="s">
        <v>31</v>
      </c>
      <c r="B227" s="21">
        <v>0</v>
      </c>
      <c r="C227" s="21">
        <v>0</v>
      </c>
      <c r="D227" s="21">
        <v>0</v>
      </c>
      <c r="E227" s="21">
        <v>0</v>
      </c>
      <c r="F227" s="21">
        <v>0</v>
      </c>
      <c r="G227" s="21">
        <v>0</v>
      </c>
      <c r="H227" s="21">
        <v>0</v>
      </c>
      <c r="I227" s="21">
        <v>0</v>
      </c>
      <c r="J227" s="21">
        <v>0</v>
      </c>
      <c r="K227" s="21">
        <v>0</v>
      </c>
      <c r="L227" s="21">
        <v>0</v>
      </c>
      <c r="M227" s="21">
        <v>0</v>
      </c>
      <c r="N227" s="150">
        <f t="shared" si="72"/>
        <v>0</v>
      </c>
      <c r="O227" s="22">
        <f t="shared" si="73"/>
        <v>0</v>
      </c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s="9" customFormat="1" ht="15.75">
      <c r="A228" s="37" t="s">
        <v>395</v>
      </c>
      <c r="B228" s="21">
        <v>0</v>
      </c>
      <c r="C228" s="21">
        <v>0</v>
      </c>
      <c r="D228" s="21">
        <v>0</v>
      </c>
      <c r="E228" s="21">
        <v>0</v>
      </c>
      <c r="F228" s="21">
        <v>0</v>
      </c>
      <c r="G228" s="21">
        <v>0</v>
      </c>
      <c r="H228" s="21">
        <v>0</v>
      </c>
      <c r="I228" s="21">
        <v>0</v>
      </c>
      <c r="J228" s="21">
        <v>0</v>
      </c>
      <c r="K228" s="21">
        <v>0</v>
      </c>
      <c r="L228" s="21">
        <v>0</v>
      </c>
      <c r="M228" s="21">
        <v>0</v>
      </c>
      <c r="N228" s="150">
        <f t="shared" si="72"/>
        <v>0</v>
      </c>
      <c r="O228" s="22">
        <f t="shared" si="73"/>
        <v>0</v>
      </c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s="9" customFormat="1" ht="15.75">
      <c r="A229" s="37" t="s">
        <v>125</v>
      </c>
      <c r="B229" s="21">
        <v>0</v>
      </c>
      <c r="C229" s="21">
        <v>1</v>
      </c>
      <c r="D229" s="21">
        <v>0</v>
      </c>
      <c r="E229" s="21">
        <v>2</v>
      </c>
      <c r="F229" s="21">
        <v>0</v>
      </c>
      <c r="G229" s="21">
        <v>0</v>
      </c>
      <c r="H229" s="21">
        <v>0</v>
      </c>
      <c r="I229" s="21">
        <v>0</v>
      </c>
      <c r="J229" s="21">
        <v>0</v>
      </c>
      <c r="K229" s="21">
        <v>0</v>
      </c>
      <c r="L229" s="21">
        <v>0</v>
      </c>
      <c r="M229" s="21">
        <v>0</v>
      </c>
      <c r="N229" s="150">
        <f t="shared" si="72"/>
        <v>3</v>
      </c>
      <c r="O229" s="22">
        <f t="shared" si="73"/>
        <v>0.25</v>
      </c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s="9" customFormat="1" ht="15.75">
      <c r="A230" s="37" t="s">
        <v>32</v>
      </c>
      <c r="B230" s="21">
        <v>11</v>
      </c>
      <c r="C230" s="21">
        <v>12</v>
      </c>
      <c r="D230" s="21">
        <v>8</v>
      </c>
      <c r="E230" s="21">
        <v>3</v>
      </c>
      <c r="F230" s="21">
        <v>8</v>
      </c>
      <c r="G230" s="21">
        <v>8</v>
      </c>
      <c r="H230" s="21">
        <v>3</v>
      </c>
      <c r="I230" s="21">
        <v>9</v>
      </c>
      <c r="J230" s="21">
        <v>8</v>
      </c>
      <c r="K230" s="21">
        <v>7</v>
      </c>
      <c r="L230" s="21">
        <v>6</v>
      </c>
      <c r="M230" s="21">
        <v>3</v>
      </c>
      <c r="N230" s="150">
        <f t="shared" si="72"/>
        <v>86</v>
      </c>
      <c r="O230" s="22">
        <f t="shared" si="73"/>
        <v>7.166666666666667</v>
      </c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s="9" customFormat="1" ht="15.75">
      <c r="A231" s="37" t="s">
        <v>389</v>
      </c>
      <c r="B231" s="21">
        <v>0</v>
      </c>
      <c r="C231" s="21">
        <v>0</v>
      </c>
      <c r="D231" s="21">
        <v>0</v>
      </c>
      <c r="E231" s="21">
        <v>0</v>
      </c>
      <c r="F231" s="21">
        <v>0</v>
      </c>
      <c r="G231" s="21">
        <v>0</v>
      </c>
      <c r="H231" s="21">
        <v>0</v>
      </c>
      <c r="I231" s="21">
        <v>0</v>
      </c>
      <c r="J231" s="21">
        <v>0</v>
      </c>
      <c r="K231" s="21">
        <v>0</v>
      </c>
      <c r="L231" s="21">
        <v>0</v>
      </c>
      <c r="M231" s="21">
        <v>0</v>
      </c>
      <c r="N231" s="150">
        <f t="shared" ref="N231" si="74">SUM(B231:M231)</f>
        <v>0</v>
      </c>
      <c r="O231" s="22">
        <f t="shared" ref="O231" si="75">IF(N231=0,0,AVERAGE(B231:M231))</f>
        <v>0</v>
      </c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s="9" customFormat="1" ht="15.75">
      <c r="A232" s="37" t="s">
        <v>33</v>
      </c>
      <c r="B232" s="21">
        <v>0</v>
      </c>
      <c r="C232" s="21">
        <v>0</v>
      </c>
      <c r="D232" s="21">
        <v>0</v>
      </c>
      <c r="E232" s="21">
        <v>0</v>
      </c>
      <c r="F232" s="21">
        <v>0</v>
      </c>
      <c r="G232" s="21">
        <v>0</v>
      </c>
      <c r="H232" s="21">
        <v>0</v>
      </c>
      <c r="I232" s="21">
        <v>1</v>
      </c>
      <c r="J232" s="21">
        <v>0</v>
      </c>
      <c r="K232" s="21">
        <v>0</v>
      </c>
      <c r="L232" s="21">
        <v>1</v>
      </c>
      <c r="M232" s="21">
        <v>0</v>
      </c>
      <c r="N232" s="150">
        <f t="shared" si="72"/>
        <v>2</v>
      </c>
      <c r="O232" s="22">
        <f t="shared" si="73"/>
        <v>0.16666666666666666</v>
      </c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s="9" customFormat="1" ht="15.75">
      <c r="A233" s="37" t="s">
        <v>34</v>
      </c>
      <c r="B233" s="21">
        <v>0</v>
      </c>
      <c r="C233" s="21">
        <v>1</v>
      </c>
      <c r="D233" s="21">
        <v>0</v>
      </c>
      <c r="E233" s="21">
        <v>1</v>
      </c>
      <c r="F233" s="21">
        <v>1</v>
      </c>
      <c r="G233" s="21">
        <v>0</v>
      </c>
      <c r="H233" s="21">
        <v>1</v>
      </c>
      <c r="I233" s="21">
        <v>1</v>
      </c>
      <c r="J233" s="21">
        <v>0</v>
      </c>
      <c r="K233" s="21">
        <v>0</v>
      </c>
      <c r="L233" s="21">
        <v>0</v>
      </c>
      <c r="M233" s="21">
        <v>1</v>
      </c>
      <c r="N233" s="150">
        <f t="shared" si="72"/>
        <v>6</v>
      </c>
      <c r="O233" s="22">
        <f t="shared" si="73"/>
        <v>0.5</v>
      </c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s="9" customFormat="1" ht="15.75">
      <c r="A234" s="37" t="s">
        <v>35</v>
      </c>
      <c r="B234" s="21">
        <v>0</v>
      </c>
      <c r="C234" s="21">
        <v>1</v>
      </c>
      <c r="D234" s="21">
        <v>1</v>
      </c>
      <c r="E234" s="21">
        <v>2</v>
      </c>
      <c r="F234" s="21">
        <v>0</v>
      </c>
      <c r="G234" s="21">
        <v>0</v>
      </c>
      <c r="H234" s="21">
        <v>0</v>
      </c>
      <c r="I234" s="21">
        <v>0</v>
      </c>
      <c r="J234" s="21">
        <v>0</v>
      </c>
      <c r="K234" s="21">
        <v>0</v>
      </c>
      <c r="L234" s="21">
        <v>0</v>
      </c>
      <c r="M234" s="21">
        <v>0</v>
      </c>
      <c r="N234" s="150">
        <f t="shared" si="72"/>
        <v>4</v>
      </c>
      <c r="O234" s="22">
        <f t="shared" si="73"/>
        <v>0.33333333333333331</v>
      </c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s="9" customFormat="1" ht="15.75">
      <c r="A235" s="23" t="s">
        <v>21</v>
      </c>
      <c r="B235" s="24">
        <f>IF(SUM(B218:B234)=0,"",SUM(B218:B234))</f>
        <v>12</v>
      </c>
      <c r="C235" s="24">
        <f t="shared" ref="C235:M235" si="76">IF(SUM(C218:C234)=0,"",SUM(C218:C234))</f>
        <v>16</v>
      </c>
      <c r="D235" s="24">
        <f t="shared" ref="D235" si="77">IF(SUM(D218:D234)=0,"",SUM(D218:D234))</f>
        <v>10</v>
      </c>
      <c r="E235" s="24">
        <f t="shared" si="76"/>
        <v>14</v>
      </c>
      <c r="F235" s="24">
        <f t="shared" si="76"/>
        <v>12</v>
      </c>
      <c r="G235" s="24">
        <f t="shared" si="76"/>
        <v>12</v>
      </c>
      <c r="H235" s="24">
        <f t="shared" si="76"/>
        <v>9</v>
      </c>
      <c r="I235" s="24">
        <f t="shared" ref="I235:J235" si="78">IF(SUM(I218:I234)=0,"",SUM(I218:I234))</f>
        <v>13</v>
      </c>
      <c r="J235" s="24">
        <f t="shared" si="78"/>
        <v>9</v>
      </c>
      <c r="K235" s="24">
        <f t="shared" si="76"/>
        <v>13</v>
      </c>
      <c r="L235" s="24">
        <f t="shared" si="76"/>
        <v>9</v>
      </c>
      <c r="M235" s="24">
        <f t="shared" si="76"/>
        <v>9</v>
      </c>
      <c r="N235" s="144">
        <f>SUM(N218:N234)</f>
        <v>138</v>
      </c>
      <c r="O235" s="25">
        <f>SUM(O218:O234)</f>
        <v>11.5</v>
      </c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s="9" customFormat="1">
      <c r="A236" s="26"/>
      <c r="B236" s="27"/>
      <c r="C236" s="27"/>
      <c r="D236" s="27"/>
      <c r="E236" s="28"/>
      <c r="F236" s="28"/>
      <c r="G236" s="28"/>
      <c r="H236" s="28"/>
      <c r="I236" s="28"/>
      <c r="J236" s="28"/>
      <c r="K236" s="28"/>
      <c r="L236" s="28"/>
      <c r="M236" s="28"/>
      <c r="N236" s="151"/>
      <c r="O236" s="16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s="9" customFormat="1" ht="15.75">
      <c r="A237" s="187" t="s">
        <v>72</v>
      </c>
      <c r="B237" s="188"/>
      <c r="C237" s="188"/>
      <c r="D237" s="188"/>
      <c r="E237" s="188"/>
      <c r="F237" s="188"/>
      <c r="G237" s="188"/>
      <c r="H237" s="188"/>
      <c r="I237" s="188"/>
      <c r="J237" s="188"/>
      <c r="K237" s="188"/>
      <c r="L237" s="188"/>
      <c r="M237" s="188"/>
      <c r="N237" s="189"/>
      <c r="O237" s="190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s="9" customFormat="1" ht="15.75">
      <c r="A238" s="40" t="s">
        <v>18</v>
      </c>
      <c r="B238" s="21">
        <v>0</v>
      </c>
      <c r="C238" s="21">
        <v>0</v>
      </c>
      <c r="D238" s="21">
        <v>0</v>
      </c>
      <c r="E238" s="21">
        <v>0</v>
      </c>
      <c r="F238" s="21">
        <v>1</v>
      </c>
      <c r="G238" s="21">
        <v>0</v>
      </c>
      <c r="H238" s="21">
        <v>0</v>
      </c>
      <c r="I238" s="21">
        <v>0</v>
      </c>
      <c r="J238" s="21">
        <v>0</v>
      </c>
      <c r="K238" s="21">
        <v>0</v>
      </c>
      <c r="L238" s="21">
        <v>0</v>
      </c>
      <c r="M238" s="21">
        <v>0</v>
      </c>
      <c r="N238" s="150">
        <f>SUM(B238:M238)</f>
        <v>1</v>
      </c>
      <c r="O238" s="22">
        <f>IF(N238=0,0,AVERAGE(B238:M238))</f>
        <v>8.3333333333333329E-2</v>
      </c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s="9" customFormat="1" ht="15.75">
      <c r="A239" s="40" t="s">
        <v>19</v>
      </c>
      <c r="B239" s="21">
        <v>1</v>
      </c>
      <c r="C239" s="21">
        <v>4</v>
      </c>
      <c r="D239" s="21">
        <v>2</v>
      </c>
      <c r="E239" s="21">
        <v>11</v>
      </c>
      <c r="F239" s="21">
        <v>3</v>
      </c>
      <c r="G239" s="21">
        <v>3</v>
      </c>
      <c r="H239" s="21">
        <v>3</v>
      </c>
      <c r="I239" s="21">
        <v>5</v>
      </c>
      <c r="J239" s="21">
        <v>0</v>
      </c>
      <c r="K239" s="21">
        <v>7</v>
      </c>
      <c r="L239" s="21">
        <v>1</v>
      </c>
      <c r="M239" s="21">
        <v>4</v>
      </c>
      <c r="N239" s="150">
        <f>SUM(B239:M239)</f>
        <v>44</v>
      </c>
      <c r="O239" s="22">
        <f>IF(N239=0,0,AVERAGE(B239:M239))</f>
        <v>3.6666666666666665</v>
      </c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s="9" customFormat="1" ht="15.75">
      <c r="A240" s="40" t="s">
        <v>20</v>
      </c>
      <c r="B240" s="21">
        <v>11</v>
      </c>
      <c r="C240" s="21">
        <v>12</v>
      </c>
      <c r="D240" s="21">
        <v>8</v>
      </c>
      <c r="E240" s="21">
        <v>3</v>
      </c>
      <c r="F240" s="21">
        <v>8</v>
      </c>
      <c r="G240" s="21">
        <v>9</v>
      </c>
      <c r="H240" s="21">
        <v>6</v>
      </c>
      <c r="I240" s="21">
        <v>8</v>
      </c>
      <c r="J240" s="21">
        <v>9</v>
      </c>
      <c r="K240" s="21">
        <v>6</v>
      </c>
      <c r="L240" s="21">
        <v>8</v>
      </c>
      <c r="M240" s="21">
        <v>5</v>
      </c>
      <c r="N240" s="150">
        <f>SUM(B240:M240)</f>
        <v>93</v>
      </c>
      <c r="O240" s="22">
        <f>IF(N240=0,0,AVERAGE(B240:M240))</f>
        <v>7.75</v>
      </c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s="9" customFormat="1" ht="15.75">
      <c r="A241" s="23" t="s">
        <v>21</v>
      </c>
      <c r="B241" s="24">
        <f>IF(SUM(B238:B240)=0,"",SUM(B238:B240))</f>
        <v>12</v>
      </c>
      <c r="C241" s="24">
        <f t="shared" ref="C241:M241" si="79">IF(SUM(C238:C240)=0,"",SUM(C238:C240))</f>
        <v>16</v>
      </c>
      <c r="D241" s="24">
        <f t="shared" si="79"/>
        <v>10</v>
      </c>
      <c r="E241" s="24">
        <f t="shared" si="79"/>
        <v>14</v>
      </c>
      <c r="F241" s="24">
        <f t="shared" si="79"/>
        <v>12</v>
      </c>
      <c r="G241" s="24">
        <f t="shared" si="79"/>
        <v>12</v>
      </c>
      <c r="H241" s="24">
        <f t="shared" si="79"/>
        <v>9</v>
      </c>
      <c r="I241" s="24">
        <f t="shared" si="79"/>
        <v>13</v>
      </c>
      <c r="J241" s="24">
        <f t="shared" si="79"/>
        <v>9</v>
      </c>
      <c r="K241" s="24">
        <f t="shared" si="79"/>
        <v>13</v>
      </c>
      <c r="L241" s="24">
        <f t="shared" si="79"/>
        <v>9</v>
      </c>
      <c r="M241" s="24">
        <f t="shared" si="79"/>
        <v>9</v>
      </c>
      <c r="N241" s="144">
        <f>SUM(N238:N240)</f>
        <v>138</v>
      </c>
      <c r="O241" s="25">
        <f>SUM(O238:O240)</f>
        <v>11.5</v>
      </c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s="9" customFormat="1" ht="15.75">
      <c r="A242" s="26"/>
      <c r="B242" s="41"/>
      <c r="C242" s="41"/>
      <c r="D242" s="41"/>
      <c r="E242" s="42"/>
      <c r="F242" s="42"/>
      <c r="G242" s="42"/>
      <c r="H242" s="42"/>
      <c r="I242" s="42"/>
      <c r="J242" s="42"/>
      <c r="K242" s="42"/>
      <c r="L242" s="42"/>
      <c r="M242" s="42"/>
      <c r="N242" s="154"/>
      <c r="O242" s="4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s="9" customFormat="1" ht="15.75">
      <c r="A243" s="187" t="s">
        <v>881</v>
      </c>
      <c r="B243" s="188"/>
      <c r="C243" s="188"/>
      <c r="D243" s="188"/>
      <c r="E243" s="188"/>
      <c r="F243" s="188"/>
      <c r="G243" s="188"/>
      <c r="H243" s="188"/>
      <c r="I243" s="188"/>
      <c r="J243" s="188"/>
      <c r="K243" s="188"/>
      <c r="L243" s="188"/>
      <c r="M243" s="188"/>
      <c r="N243" s="189"/>
      <c r="O243" s="190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s="9" customFormat="1" ht="15.75">
      <c r="A244" s="37" t="s">
        <v>29</v>
      </c>
      <c r="B244" s="21">
        <v>0</v>
      </c>
      <c r="C244" s="21">
        <v>0</v>
      </c>
      <c r="D244" s="21">
        <v>0</v>
      </c>
      <c r="E244" s="21">
        <v>0</v>
      </c>
      <c r="F244" s="21">
        <v>0</v>
      </c>
      <c r="G244" s="21">
        <v>0</v>
      </c>
      <c r="H244" s="21">
        <v>0</v>
      </c>
      <c r="I244" s="21">
        <v>0</v>
      </c>
      <c r="J244" s="21">
        <v>0</v>
      </c>
      <c r="K244" s="21">
        <v>0</v>
      </c>
      <c r="L244" s="21">
        <v>0</v>
      </c>
      <c r="M244" s="21">
        <v>0</v>
      </c>
      <c r="N244" s="150">
        <f>SUM(B244:M244)</f>
        <v>0</v>
      </c>
      <c r="O244" s="22">
        <f>IF(N244=0,0,AVERAGE(B244:M244))</f>
        <v>0</v>
      </c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s="9" customFormat="1" ht="15.75">
      <c r="A245" s="37" t="s">
        <v>26</v>
      </c>
      <c r="B245" s="21">
        <v>0</v>
      </c>
      <c r="C245" s="21">
        <v>0</v>
      </c>
      <c r="D245" s="21">
        <v>0</v>
      </c>
      <c r="E245" s="21">
        <v>0</v>
      </c>
      <c r="F245" s="21">
        <v>0</v>
      </c>
      <c r="G245" s="21">
        <v>0</v>
      </c>
      <c r="H245" s="21">
        <v>0</v>
      </c>
      <c r="I245" s="21">
        <v>0</v>
      </c>
      <c r="J245" s="21">
        <v>0</v>
      </c>
      <c r="K245" s="21">
        <v>0</v>
      </c>
      <c r="L245" s="21">
        <v>0</v>
      </c>
      <c r="M245" s="21">
        <v>0</v>
      </c>
      <c r="N245" s="150">
        <f t="shared" ref="N245:N260" si="80">SUM(B245:M245)</f>
        <v>0</v>
      </c>
      <c r="O245" s="22">
        <f t="shared" ref="O245:O260" si="81">IF(N245=0,0,AVERAGE(B245:M245))</f>
        <v>0</v>
      </c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s="9" customFormat="1" ht="15.75">
      <c r="A246" s="37" t="s">
        <v>321</v>
      </c>
      <c r="B246" s="21">
        <v>0</v>
      </c>
      <c r="C246" s="21">
        <v>0</v>
      </c>
      <c r="D246" s="21">
        <v>0</v>
      </c>
      <c r="E246" s="21">
        <v>0</v>
      </c>
      <c r="F246" s="21">
        <v>0</v>
      </c>
      <c r="G246" s="21">
        <v>0</v>
      </c>
      <c r="H246" s="21">
        <v>0</v>
      </c>
      <c r="I246" s="21">
        <v>0</v>
      </c>
      <c r="J246" s="21">
        <v>0</v>
      </c>
      <c r="K246" s="21">
        <v>0</v>
      </c>
      <c r="L246" s="21">
        <v>0</v>
      </c>
      <c r="M246" s="21">
        <v>0</v>
      </c>
      <c r="N246" s="150">
        <f t="shared" si="80"/>
        <v>0</v>
      </c>
      <c r="O246" s="22">
        <f t="shared" si="81"/>
        <v>0</v>
      </c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s="9" customFormat="1" ht="15.75">
      <c r="A247" s="37" t="s">
        <v>25</v>
      </c>
      <c r="B247" s="21">
        <v>0</v>
      </c>
      <c r="C247" s="21">
        <v>0</v>
      </c>
      <c r="D247" s="21">
        <v>0</v>
      </c>
      <c r="E247" s="21">
        <v>0</v>
      </c>
      <c r="F247" s="21">
        <v>0</v>
      </c>
      <c r="G247" s="21">
        <v>0</v>
      </c>
      <c r="H247" s="21">
        <v>0</v>
      </c>
      <c r="I247" s="21">
        <v>0</v>
      </c>
      <c r="J247" s="21">
        <v>0</v>
      </c>
      <c r="K247" s="21">
        <v>0</v>
      </c>
      <c r="L247" s="21">
        <v>0</v>
      </c>
      <c r="M247" s="21">
        <v>0</v>
      </c>
      <c r="N247" s="150">
        <f t="shared" si="80"/>
        <v>0</v>
      </c>
      <c r="O247" s="22">
        <f t="shared" si="81"/>
        <v>0</v>
      </c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s="9" customFormat="1" ht="15.75">
      <c r="A248" s="37" t="s">
        <v>27</v>
      </c>
      <c r="B248" s="21">
        <v>0</v>
      </c>
      <c r="C248" s="21">
        <v>0</v>
      </c>
      <c r="D248" s="21">
        <v>0</v>
      </c>
      <c r="E248" s="21">
        <v>0</v>
      </c>
      <c r="F248" s="21">
        <v>0</v>
      </c>
      <c r="G248" s="21">
        <v>0</v>
      </c>
      <c r="H248" s="21">
        <v>0</v>
      </c>
      <c r="I248" s="21">
        <v>0</v>
      </c>
      <c r="J248" s="21">
        <v>0</v>
      </c>
      <c r="K248" s="21">
        <v>0</v>
      </c>
      <c r="L248" s="21">
        <v>0</v>
      </c>
      <c r="M248" s="21">
        <v>0</v>
      </c>
      <c r="N248" s="150">
        <f t="shared" si="80"/>
        <v>0</v>
      </c>
      <c r="O248" s="22">
        <f t="shared" si="81"/>
        <v>0</v>
      </c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s="9" customFormat="1" ht="15.75">
      <c r="A249" s="37" t="s">
        <v>101</v>
      </c>
      <c r="B249" s="21">
        <v>0</v>
      </c>
      <c r="C249" s="21">
        <v>0</v>
      </c>
      <c r="D249" s="21">
        <v>0</v>
      </c>
      <c r="E249" s="21">
        <v>0</v>
      </c>
      <c r="F249" s="21">
        <v>0</v>
      </c>
      <c r="G249" s="21">
        <v>0</v>
      </c>
      <c r="H249" s="21">
        <v>0</v>
      </c>
      <c r="I249" s="21">
        <v>0</v>
      </c>
      <c r="J249" s="21">
        <v>0</v>
      </c>
      <c r="K249" s="21">
        <v>0</v>
      </c>
      <c r="L249" s="21">
        <v>0</v>
      </c>
      <c r="M249" s="21">
        <v>0</v>
      </c>
      <c r="N249" s="150">
        <f t="shared" si="80"/>
        <v>0</v>
      </c>
      <c r="O249" s="22">
        <f t="shared" si="81"/>
        <v>0</v>
      </c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s="9" customFormat="1" ht="15.75">
      <c r="A250" s="40" t="s">
        <v>19</v>
      </c>
      <c r="B250" s="21">
        <v>0</v>
      </c>
      <c r="C250" s="21">
        <v>0</v>
      </c>
      <c r="D250" s="21">
        <v>0</v>
      </c>
      <c r="E250" s="21">
        <v>0</v>
      </c>
      <c r="F250" s="21">
        <v>3</v>
      </c>
      <c r="G250" s="21">
        <v>0</v>
      </c>
      <c r="H250" s="21">
        <v>0</v>
      </c>
      <c r="I250" s="21">
        <v>0</v>
      </c>
      <c r="J250" s="21">
        <v>0</v>
      </c>
      <c r="K250" s="21">
        <v>0</v>
      </c>
      <c r="L250" s="21">
        <v>1</v>
      </c>
      <c r="M250" s="21">
        <v>0</v>
      </c>
      <c r="N250" s="150">
        <f t="shared" si="80"/>
        <v>4</v>
      </c>
      <c r="O250" s="22">
        <f t="shared" si="81"/>
        <v>0.33333333333333331</v>
      </c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s="9" customFormat="1" ht="15.75">
      <c r="A251" s="37" t="s">
        <v>28</v>
      </c>
      <c r="B251" s="21">
        <v>0</v>
      </c>
      <c r="C251" s="21">
        <v>0</v>
      </c>
      <c r="D251" s="21">
        <v>0</v>
      </c>
      <c r="E251" s="21">
        <v>0</v>
      </c>
      <c r="F251" s="21">
        <v>0</v>
      </c>
      <c r="G251" s="21">
        <v>0</v>
      </c>
      <c r="H251" s="21">
        <v>0</v>
      </c>
      <c r="I251" s="21">
        <v>0</v>
      </c>
      <c r="J251" s="21">
        <v>0</v>
      </c>
      <c r="K251" s="21">
        <v>0</v>
      </c>
      <c r="L251" s="21">
        <v>0</v>
      </c>
      <c r="M251" s="21">
        <v>0</v>
      </c>
      <c r="N251" s="150">
        <f t="shared" si="80"/>
        <v>0</v>
      </c>
      <c r="O251" s="22">
        <f t="shared" si="81"/>
        <v>0</v>
      </c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s="9" customFormat="1" ht="15.75">
      <c r="A252" s="37" t="s">
        <v>124</v>
      </c>
      <c r="B252" s="21">
        <v>0</v>
      </c>
      <c r="C252" s="21">
        <v>0</v>
      </c>
      <c r="D252" s="21">
        <v>0</v>
      </c>
      <c r="E252" s="21">
        <v>0</v>
      </c>
      <c r="F252" s="21">
        <v>0</v>
      </c>
      <c r="G252" s="21">
        <v>0</v>
      </c>
      <c r="H252" s="21">
        <v>0</v>
      </c>
      <c r="I252" s="21">
        <v>0</v>
      </c>
      <c r="J252" s="21">
        <v>0</v>
      </c>
      <c r="K252" s="21">
        <v>0</v>
      </c>
      <c r="L252" s="21">
        <v>0</v>
      </c>
      <c r="M252" s="21">
        <v>0</v>
      </c>
      <c r="N252" s="150">
        <f t="shared" si="80"/>
        <v>0</v>
      </c>
      <c r="O252" s="22">
        <f t="shared" si="81"/>
        <v>0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s="9" customFormat="1" ht="15.75">
      <c r="A253" s="37" t="s">
        <v>31</v>
      </c>
      <c r="B253" s="21">
        <v>0</v>
      </c>
      <c r="C253" s="21">
        <v>0</v>
      </c>
      <c r="D253" s="21">
        <v>0</v>
      </c>
      <c r="E253" s="21">
        <v>0</v>
      </c>
      <c r="F253" s="21">
        <v>0</v>
      </c>
      <c r="G253" s="21">
        <v>0</v>
      </c>
      <c r="H253" s="21">
        <v>0</v>
      </c>
      <c r="I253" s="21">
        <v>0</v>
      </c>
      <c r="J253" s="21">
        <v>0</v>
      </c>
      <c r="K253" s="21">
        <v>0</v>
      </c>
      <c r="L253" s="21">
        <v>0</v>
      </c>
      <c r="M253" s="21">
        <v>0</v>
      </c>
      <c r="N253" s="150">
        <f t="shared" si="80"/>
        <v>0</v>
      </c>
      <c r="O253" s="22">
        <f t="shared" si="81"/>
        <v>0</v>
      </c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s="9" customFormat="1" ht="15.75">
      <c r="A254" s="37" t="s">
        <v>395</v>
      </c>
      <c r="B254" s="21">
        <v>0</v>
      </c>
      <c r="C254" s="21">
        <v>0</v>
      </c>
      <c r="D254" s="21">
        <v>0</v>
      </c>
      <c r="E254" s="21">
        <v>0</v>
      </c>
      <c r="F254" s="21">
        <v>0</v>
      </c>
      <c r="G254" s="21">
        <v>0</v>
      </c>
      <c r="H254" s="21">
        <v>0</v>
      </c>
      <c r="I254" s="21">
        <v>0</v>
      </c>
      <c r="J254" s="21">
        <v>0</v>
      </c>
      <c r="K254" s="21">
        <v>0</v>
      </c>
      <c r="L254" s="21">
        <v>0</v>
      </c>
      <c r="M254" s="21">
        <v>0</v>
      </c>
      <c r="N254" s="150">
        <f t="shared" si="80"/>
        <v>0</v>
      </c>
      <c r="O254" s="22">
        <f t="shared" si="81"/>
        <v>0</v>
      </c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s="9" customFormat="1" ht="15.75">
      <c r="A255" s="37" t="s">
        <v>125</v>
      </c>
      <c r="B255" s="21">
        <v>0</v>
      </c>
      <c r="C255" s="21">
        <v>0</v>
      </c>
      <c r="D255" s="21">
        <v>0</v>
      </c>
      <c r="E255" s="21">
        <v>0</v>
      </c>
      <c r="F255" s="21">
        <v>0</v>
      </c>
      <c r="G255" s="21">
        <v>0</v>
      </c>
      <c r="H255" s="21">
        <v>0</v>
      </c>
      <c r="I255" s="21">
        <v>0</v>
      </c>
      <c r="J255" s="21">
        <v>0</v>
      </c>
      <c r="K255" s="21">
        <v>0</v>
      </c>
      <c r="L255" s="21">
        <v>0</v>
      </c>
      <c r="M255" s="21">
        <v>0</v>
      </c>
      <c r="N255" s="150">
        <f t="shared" si="80"/>
        <v>0</v>
      </c>
      <c r="O255" s="22">
        <f t="shared" si="81"/>
        <v>0</v>
      </c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s="9" customFormat="1" ht="15.75">
      <c r="A256" s="37" t="s">
        <v>32</v>
      </c>
      <c r="B256" s="21">
        <v>0</v>
      </c>
      <c r="C256" s="21">
        <v>1</v>
      </c>
      <c r="D256" s="21">
        <v>0</v>
      </c>
      <c r="E256" s="21">
        <v>0</v>
      </c>
      <c r="F256" s="21">
        <v>0</v>
      </c>
      <c r="G256" s="21">
        <v>0</v>
      </c>
      <c r="H256" s="21">
        <v>1</v>
      </c>
      <c r="I256" s="21">
        <v>2</v>
      </c>
      <c r="J256" s="21">
        <v>0</v>
      </c>
      <c r="K256" s="21">
        <v>0</v>
      </c>
      <c r="L256" s="21">
        <v>0</v>
      </c>
      <c r="M256" s="21">
        <v>0</v>
      </c>
      <c r="N256" s="150">
        <f t="shared" si="80"/>
        <v>4</v>
      </c>
      <c r="O256" s="22">
        <f t="shared" si="81"/>
        <v>0.33333333333333331</v>
      </c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s="9" customFormat="1" ht="15.75">
      <c r="A257" s="37" t="s">
        <v>389</v>
      </c>
      <c r="B257" s="21">
        <v>0</v>
      </c>
      <c r="C257" s="21">
        <v>0</v>
      </c>
      <c r="D257" s="21">
        <v>0</v>
      </c>
      <c r="E257" s="21">
        <v>0</v>
      </c>
      <c r="F257" s="21">
        <v>0</v>
      </c>
      <c r="G257" s="21">
        <v>0</v>
      </c>
      <c r="H257" s="21">
        <v>0</v>
      </c>
      <c r="I257" s="21">
        <v>0</v>
      </c>
      <c r="J257" s="21">
        <v>0</v>
      </c>
      <c r="K257" s="21">
        <v>0</v>
      </c>
      <c r="L257" s="21">
        <v>0</v>
      </c>
      <c r="M257" s="21">
        <v>0</v>
      </c>
      <c r="N257" s="150">
        <f t="shared" ref="N257" si="82">SUM(B257:M257)</f>
        <v>0</v>
      </c>
      <c r="O257" s="22">
        <f t="shared" ref="O257" si="83">IF(N257=0,0,AVERAGE(B257:M257))</f>
        <v>0</v>
      </c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s="9" customFormat="1" ht="15.75">
      <c r="A258" s="37" t="s">
        <v>33</v>
      </c>
      <c r="B258" s="21">
        <v>0</v>
      </c>
      <c r="C258" s="21">
        <v>0</v>
      </c>
      <c r="D258" s="21">
        <v>0</v>
      </c>
      <c r="E258" s="21">
        <v>0</v>
      </c>
      <c r="F258" s="21">
        <v>0</v>
      </c>
      <c r="G258" s="21">
        <v>0</v>
      </c>
      <c r="H258" s="21">
        <v>0</v>
      </c>
      <c r="I258" s="21">
        <v>0</v>
      </c>
      <c r="J258" s="21">
        <v>0</v>
      </c>
      <c r="K258" s="21">
        <v>0</v>
      </c>
      <c r="L258" s="21">
        <v>0</v>
      </c>
      <c r="M258" s="21">
        <v>0</v>
      </c>
      <c r="N258" s="150">
        <f t="shared" si="80"/>
        <v>0</v>
      </c>
      <c r="O258" s="22">
        <f t="shared" si="81"/>
        <v>0</v>
      </c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s="9" customFormat="1" ht="15.75">
      <c r="A259" s="37" t="s">
        <v>34</v>
      </c>
      <c r="B259" s="21">
        <v>0</v>
      </c>
      <c r="C259" s="21">
        <v>0</v>
      </c>
      <c r="D259" s="21">
        <v>0</v>
      </c>
      <c r="E259" s="21">
        <v>0</v>
      </c>
      <c r="F259" s="21">
        <v>0</v>
      </c>
      <c r="G259" s="21">
        <v>0</v>
      </c>
      <c r="H259" s="21">
        <v>0</v>
      </c>
      <c r="I259" s="21">
        <v>0</v>
      </c>
      <c r="J259" s="21">
        <v>0</v>
      </c>
      <c r="K259" s="21">
        <v>0</v>
      </c>
      <c r="L259" s="21">
        <v>0</v>
      </c>
      <c r="M259" s="21">
        <v>0</v>
      </c>
      <c r="N259" s="150">
        <f t="shared" si="80"/>
        <v>0</v>
      </c>
      <c r="O259" s="22">
        <f t="shared" si="81"/>
        <v>0</v>
      </c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s="9" customFormat="1" ht="15.75">
      <c r="A260" s="37" t="s">
        <v>35</v>
      </c>
      <c r="B260" s="21">
        <v>0</v>
      </c>
      <c r="C260" s="21">
        <v>0</v>
      </c>
      <c r="D260" s="21">
        <v>0</v>
      </c>
      <c r="E260" s="21">
        <v>0</v>
      </c>
      <c r="F260" s="21">
        <v>0</v>
      </c>
      <c r="G260" s="21">
        <v>0</v>
      </c>
      <c r="H260" s="21">
        <v>0</v>
      </c>
      <c r="I260" s="21">
        <v>0</v>
      </c>
      <c r="J260" s="21">
        <v>0</v>
      </c>
      <c r="K260" s="21">
        <v>0</v>
      </c>
      <c r="L260" s="21">
        <v>0</v>
      </c>
      <c r="M260" s="21">
        <v>0</v>
      </c>
      <c r="N260" s="150">
        <f t="shared" si="80"/>
        <v>0</v>
      </c>
      <c r="O260" s="22">
        <f t="shared" si="81"/>
        <v>0</v>
      </c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s="9" customFormat="1" ht="15.75">
      <c r="A261" s="23" t="s">
        <v>21</v>
      </c>
      <c r="B261" s="24">
        <v>0</v>
      </c>
      <c r="C261" s="24">
        <f t="shared" ref="C261:L261" si="84">IF(SUM(C244:C260)=0,"",SUM(C244:C260))</f>
        <v>1</v>
      </c>
      <c r="D261" s="24">
        <v>0</v>
      </c>
      <c r="E261" s="24">
        <v>0</v>
      </c>
      <c r="F261" s="24">
        <f t="shared" si="84"/>
        <v>3</v>
      </c>
      <c r="G261" s="24">
        <v>0</v>
      </c>
      <c r="H261" s="24">
        <f t="shared" si="84"/>
        <v>1</v>
      </c>
      <c r="I261" s="24">
        <f t="shared" si="84"/>
        <v>2</v>
      </c>
      <c r="J261" s="24">
        <v>0</v>
      </c>
      <c r="K261" s="24">
        <v>0</v>
      </c>
      <c r="L261" s="24">
        <f t="shared" si="84"/>
        <v>1</v>
      </c>
      <c r="M261" s="24">
        <v>0</v>
      </c>
      <c r="N261" s="144">
        <f>SUM(N244:N260)</f>
        <v>8</v>
      </c>
      <c r="O261" s="25">
        <f>SUM(O244:O260)</f>
        <v>0.66666666666666663</v>
      </c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s="9" customFormat="1">
      <c r="A262" s="33"/>
      <c r="B262" s="34"/>
      <c r="C262" s="34"/>
      <c r="D262" s="34"/>
      <c r="E262" s="35"/>
      <c r="F262" s="35"/>
      <c r="G262" s="35"/>
      <c r="H262" s="35"/>
      <c r="I262" s="35"/>
      <c r="J262" s="35"/>
      <c r="K262" s="35"/>
      <c r="L262" s="35"/>
      <c r="M262" s="35"/>
      <c r="N262" s="153"/>
      <c r="O262" s="16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s="9" customFormat="1" ht="15.75">
      <c r="A263" s="187" t="s">
        <v>882</v>
      </c>
      <c r="B263" s="188"/>
      <c r="C263" s="188"/>
      <c r="D263" s="188"/>
      <c r="E263" s="188"/>
      <c r="F263" s="188"/>
      <c r="G263" s="188"/>
      <c r="H263" s="188"/>
      <c r="I263" s="188"/>
      <c r="J263" s="188"/>
      <c r="K263" s="188"/>
      <c r="L263" s="188"/>
      <c r="M263" s="188"/>
      <c r="N263" s="189"/>
      <c r="O263" s="190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s="9" customFormat="1" ht="15.75">
      <c r="A264" s="37" t="s">
        <v>29</v>
      </c>
      <c r="B264" s="21">
        <v>0</v>
      </c>
      <c r="C264" s="21">
        <v>0</v>
      </c>
      <c r="D264" s="21">
        <v>0</v>
      </c>
      <c r="E264" s="21">
        <v>0</v>
      </c>
      <c r="F264" s="21">
        <v>0</v>
      </c>
      <c r="G264" s="21">
        <v>0</v>
      </c>
      <c r="H264" s="21">
        <v>0</v>
      </c>
      <c r="I264" s="21">
        <v>0</v>
      </c>
      <c r="J264" s="21">
        <v>0</v>
      </c>
      <c r="K264" s="21">
        <v>0</v>
      </c>
      <c r="L264" s="21">
        <v>0</v>
      </c>
      <c r="M264" s="21">
        <v>0</v>
      </c>
      <c r="N264" s="150">
        <f>SUM(B264:M264)</f>
        <v>0</v>
      </c>
      <c r="O264" s="22">
        <f>IF(N264=0,0,AVERAGE(B264:M264))</f>
        <v>0</v>
      </c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s="9" customFormat="1" ht="15.75">
      <c r="A265" s="37" t="s">
        <v>26</v>
      </c>
      <c r="B265" s="21">
        <v>0</v>
      </c>
      <c r="C265" s="21">
        <v>0</v>
      </c>
      <c r="D265" s="21">
        <v>0</v>
      </c>
      <c r="E265" s="21">
        <v>0</v>
      </c>
      <c r="F265" s="21">
        <v>0</v>
      </c>
      <c r="G265" s="21">
        <v>0</v>
      </c>
      <c r="H265" s="21">
        <v>0</v>
      </c>
      <c r="I265" s="21">
        <v>0</v>
      </c>
      <c r="J265" s="21">
        <v>0</v>
      </c>
      <c r="K265" s="21">
        <v>0</v>
      </c>
      <c r="L265" s="21">
        <v>0</v>
      </c>
      <c r="M265" s="21">
        <v>0</v>
      </c>
      <c r="N265" s="150">
        <f t="shared" ref="N265:N280" si="85">SUM(B265:M265)</f>
        <v>0</v>
      </c>
      <c r="O265" s="22">
        <f t="shared" ref="O265:O280" si="86">IF(N265=0,0,AVERAGE(B265:M265))</f>
        <v>0</v>
      </c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s="9" customFormat="1" ht="15.75">
      <c r="A266" s="37" t="s">
        <v>321</v>
      </c>
      <c r="B266" s="21">
        <v>0</v>
      </c>
      <c r="C266" s="21">
        <v>0</v>
      </c>
      <c r="D266" s="21">
        <v>0</v>
      </c>
      <c r="E266" s="21">
        <v>0</v>
      </c>
      <c r="F266" s="21">
        <v>0</v>
      </c>
      <c r="G266" s="21">
        <v>0</v>
      </c>
      <c r="H266" s="21">
        <v>0</v>
      </c>
      <c r="I266" s="21">
        <v>0</v>
      </c>
      <c r="J266" s="21">
        <v>0</v>
      </c>
      <c r="K266" s="21">
        <v>0</v>
      </c>
      <c r="L266" s="21">
        <v>0</v>
      </c>
      <c r="M266" s="21">
        <v>0</v>
      </c>
      <c r="N266" s="150">
        <f t="shared" si="85"/>
        <v>0</v>
      </c>
      <c r="O266" s="22">
        <f t="shared" si="86"/>
        <v>0</v>
      </c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s="9" customFormat="1" ht="15.75">
      <c r="A267" s="37" t="s">
        <v>25</v>
      </c>
      <c r="B267" s="21">
        <v>0</v>
      </c>
      <c r="C267" s="21">
        <v>0</v>
      </c>
      <c r="D267" s="21">
        <v>0</v>
      </c>
      <c r="E267" s="21">
        <v>0</v>
      </c>
      <c r="F267" s="21">
        <v>0</v>
      </c>
      <c r="G267" s="21">
        <v>0</v>
      </c>
      <c r="H267" s="21">
        <v>0</v>
      </c>
      <c r="I267" s="21">
        <v>0</v>
      </c>
      <c r="J267" s="21">
        <v>0</v>
      </c>
      <c r="K267" s="21">
        <v>0</v>
      </c>
      <c r="L267" s="21">
        <v>0</v>
      </c>
      <c r="M267" s="21">
        <v>0</v>
      </c>
      <c r="N267" s="150">
        <f t="shared" si="85"/>
        <v>0</v>
      </c>
      <c r="O267" s="22">
        <f t="shared" si="86"/>
        <v>0</v>
      </c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s="9" customFormat="1" ht="15.75">
      <c r="A268" s="37" t="s">
        <v>27</v>
      </c>
      <c r="B268" s="21">
        <v>0</v>
      </c>
      <c r="C268" s="21">
        <v>0</v>
      </c>
      <c r="D268" s="21">
        <v>0</v>
      </c>
      <c r="E268" s="21">
        <v>0</v>
      </c>
      <c r="F268" s="21">
        <v>0</v>
      </c>
      <c r="G268" s="21">
        <v>0</v>
      </c>
      <c r="H268" s="21">
        <v>0</v>
      </c>
      <c r="I268" s="21">
        <v>0</v>
      </c>
      <c r="J268" s="21">
        <v>0</v>
      </c>
      <c r="K268" s="21">
        <v>0</v>
      </c>
      <c r="L268" s="21">
        <v>0</v>
      </c>
      <c r="M268" s="21">
        <v>0</v>
      </c>
      <c r="N268" s="150">
        <f t="shared" si="85"/>
        <v>0</v>
      </c>
      <c r="O268" s="22">
        <f t="shared" si="86"/>
        <v>0</v>
      </c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s="9" customFormat="1" ht="15.75">
      <c r="A269" s="37" t="s">
        <v>101</v>
      </c>
      <c r="B269" s="21">
        <v>0</v>
      </c>
      <c r="C269" s="21">
        <v>0</v>
      </c>
      <c r="D269" s="21">
        <v>0</v>
      </c>
      <c r="E269" s="21">
        <v>0</v>
      </c>
      <c r="F269" s="21">
        <v>0</v>
      </c>
      <c r="G269" s="21">
        <v>2</v>
      </c>
      <c r="H269" s="21">
        <v>0</v>
      </c>
      <c r="I269" s="21">
        <v>0</v>
      </c>
      <c r="J269" s="21">
        <v>0</v>
      </c>
      <c r="K269" s="21">
        <v>0</v>
      </c>
      <c r="L269" s="21">
        <v>0</v>
      </c>
      <c r="M269" s="21">
        <v>0</v>
      </c>
      <c r="N269" s="150">
        <f t="shared" si="85"/>
        <v>2</v>
      </c>
      <c r="O269" s="22">
        <f t="shared" si="86"/>
        <v>0.16666666666666666</v>
      </c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s="9" customFormat="1" ht="15.75">
      <c r="A270" s="40" t="s">
        <v>19</v>
      </c>
      <c r="B270" s="21">
        <v>1</v>
      </c>
      <c r="C270" s="21">
        <v>1</v>
      </c>
      <c r="D270" s="21">
        <v>1</v>
      </c>
      <c r="E270" s="21">
        <v>6</v>
      </c>
      <c r="F270" s="21">
        <v>0</v>
      </c>
      <c r="G270" s="21">
        <v>2</v>
      </c>
      <c r="H270" s="21">
        <v>5</v>
      </c>
      <c r="I270" s="21">
        <v>2</v>
      </c>
      <c r="J270" s="21">
        <v>1</v>
      </c>
      <c r="K270" s="21">
        <f>5+1</f>
        <v>6</v>
      </c>
      <c r="L270" s="21">
        <v>1</v>
      </c>
      <c r="M270" s="21">
        <v>5</v>
      </c>
      <c r="N270" s="150">
        <f t="shared" si="85"/>
        <v>31</v>
      </c>
      <c r="O270" s="22">
        <f t="shared" si="86"/>
        <v>2.5833333333333335</v>
      </c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s="9" customFormat="1" ht="15.75">
      <c r="A271" s="37" t="s">
        <v>28</v>
      </c>
      <c r="B271" s="21">
        <v>0</v>
      </c>
      <c r="C271" s="21">
        <v>0</v>
      </c>
      <c r="D271" s="21">
        <v>0</v>
      </c>
      <c r="E271" s="21">
        <v>0</v>
      </c>
      <c r="F271" s="21">
        <v>0</v>
      </c>
      <c r="G271" s="21">
        <v>0</v>
      </c>
      <c r="H271" s="21">
        <v>0</v>
      </c>
      <c r="I271" s="21">
        <v>0</v>
      </c>
      <c r="J271" s="21">
        <v>0</v>
      </c>
      <c r="K271" s="21">
        <v>0</v>
      </c>
      <c r="L271" s="21">
        <v>0</v>
      </c>
      <c r="M271" s="21">
        <v>0</v>
      </c>
      <c r="N271" s="150">
        <f t="shared" si="85"/>
        <v>0</v>
      </c>
      <c r="O271" s="22">
        <f t="shared" si="86"/>
        <v>0</v>
      </c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s="9" customFormat="1" ht="15.75">
      <c r="A272" s="37" t="s">
        <v>124</v>
      </c>
      <c r="B272" s="21">
        <v>0</v>
      </c>
      <c r="C272" s="21">
        <v>0</v>
      </c>
      <c r="D272" s="21">
        <v>0</v>
      </c>
      <c r="E272" s="21">
        <v>0</v>
      </c>
      <c r="F272" s="21">
        <v>0</v>
      </c>
      <c r="G272" s="21">
        <v>0</v>
      </c>
      <c r="H272" s="21">
        <v>0</v>
      </c>
      <c r="I272" s="21">
        <v>0</v>
      </c>
      <c r="J272" s="21">
        <v>0</v>
      </c>
      <c r="K272" s="21">
        <v>0</v>
      </c>
      <c r="L272" s="21">
        <v>0</v>
      </c>
      <c r="M272" s="21">
        <v>0</v>
      </c>
      <c r="N272" s="150">
        <f t="shared" si="85"/>
        <v>0</v>
      </c>
      <c r="O272" s="22">
        <f t="shared" si="86"/>
        <v>0</v>
      </c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s="9" customFormat="1" ht="15.75">
      <c r="A273" s="37" t="s">
        <v>31</v>
      </c>
      <c r="B273" s="21">
        <v>0</v>
      </c>
      <c r="C273" s="21">
        <v>0</v>
      </c>
      <c r="D273" s="21">
        <v>0</v>
      </c>
      <c r="E273" s="21">
        <v>0</v>
      </c>
      <c r="F273" s="21">
        <v>0</v>
      </c>
      <c r="G273" s="21">
        <v>0</v>
      </c>
      <c r="H273" s="21">
        <v>0</v>
      </c>
      <c r="I273" s="21">
        <v>0</v>
      </c>
      <c r="J273" s="21">
        <v>0</v>
      </c>
      <c r="K273" s="21">
        <v>0</v>
      </c>
      <c r="L273" s="21">
        <v>0</v>
      </c>
      <c r="M273" s="21">
        <v>0</v>
      </c>
      <c r="N273" s="150">
        <f t="shared" si="85"/>
        <v>0</v>
      </c>
      <c r="O273" s="22">
        <f t="shared" si="86"/>
        <v>0</v>
      </c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s="9" customFormat="1" ht="15.75">
      <c r="A274" s="37" t="s">
        <v>395</v>
      </c>
      <c r="B274" s="21">
        <v>0</v>
      </c>
      <c r="C274" s="21">
        <v>0</v>
      </c>
      <c r="D274" s="21">
        <v>0</v>
      </c>
      <c r="E274" s="21">
        <v>0</v>
      </c>
      <c r="F274" s="21">
        <v>0</v>
      </c>
      <c r="G274" s="21">
        <v>0</v>
      </c>
      <c r="H274" s="21">
        <v>0</v>
      </c>
      <c r="I274" s="21">
        <v>0</v>
      </c>
      <c r="J274" s="21">
        <v>0</v>
      </c>
      <c r="K274" s="21">
        <v>0</v>
      </c>
      <c r="L274" s="21">
        <v>0</v>
      </c>
      <c r="M274" s="21">
        <v>0</v>
      </c>
      <c r="N274" s="150">
        <f t="shared" si="85"/>
        <v>0</v>
      </c>
      <c r="O274" s="22">
        <f t="shared" si="86"/>
        <v>0</v>
      </c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s="9" customFormat="1" ht="15.75">
      <c r="A275" s="37" t="s">
        <v>125</v>
      </c>
      <c r="B275" s="21">
        <v>0</v>
      </c>
      <c r="C275" s="21">
        <v>1</v>
      </c>
      <c r="D275" s="21">
        <v>0</v>
      </c>
      <c r="E275" s="21">
        <v>2</v>
      </c>
      <c r="F275" s="21">
        <v>0</v>
      </c>
      <c r="G275" s="21">
        <v>0</v>
      </c>
      <c r="H275" s="21">
        <v>0</v>
      </c>
      <c r="I275" s="21">
        <v>0</v>
      </c>
      <c r="J275" s="21">
        <v>0</v>
      </c>
      <c r="K275" s="21">
        <v>0</v>
      </c>
      <c r="L275" s="21">
        <v>0</v>
      </c>
      <c r="M275" s="21">
        <v>0</v>
      </c>
      <c r="N275" s="150">
        <f t="shared" si="85"/>
        <v>3</v>
      </c>
      <c r="O275" s="22">
        <f t="shared" si="86"/>
        <v>0.25</v>
      </c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s="9" customFormat="1" ht="15.75">
      <c r="A276" s="37" t="s">
        <v>32</v>
      </c>
      <c r="B276" s="21">
        <v>11</v>
      </c>
      <c r="C276" s="21">
        <v>11</v>
      </c>
      <c r="D276" s="21">
        <v>8</v>
      </c>
      <c r="E276" s="21">
        <v>3</v>
      </c>
      <c r="F276" s="21">
        <v>8</v>
      </c>
      <c r="G276" s="21">
        <v>8</v>
      </c>
      <c r="H276" s="21">
        <v>2</v>
      </c>
      <c r="I276" s="21">
        <v>7</v>
      </c>
      <c r="J276" s="21">
        <v>8</v>
      </c>
      <c r="K276" s="21">
        <v>7</v>
      </c>
      <c r="L276" s="21">
        <v>6</v>
      </c>
      <c r="M276" s="21">
        <v>3</v>
      </c>
      <c r="N276" s="150">
        <f t="shared" si="85"/>
        <v>82</v>
      </c>
      <c r="O276" s="22">
        <f t="shared" si="86"/>
        <v>6.833333333333333</v>
      </c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s="9" customFormat="1" ht="15.75">
      <c r="A277" s="37" t="s">
        <v>389</v>
      </c>
      <c r="B277" s="21">
        <v>0</v>
      </c>
      <c r="C277" s="21">
        <v>0</v>
      </c>
      <c r="D277" s="21">
        <v>0</v>
      </c>
      <c r="E277" s="21">
        <v>0</v>
      </c>
      <c r="F277" s="21">
        <v>0</v>
      </c>
      <c r="G277" s="21">
        <v>0</v>
      </c>
      <c r="H277" s="21">
        <v>0</v>
      </c>
      <c r="I277" s="21">
        <v>0</v>
      </c>
      <c r="J277" s="21">
        <v>0</v>
      </c>
      <c r="K277" s="21">
        <v>0</v>
      </c>
      <c r="L277" s="21">
        <v>0</v>
      </c>
      <c r="M277" s="21">
        <v>0</v>
      </c>
      <c r="N277" s="150">
        <f t="shared" ref="N277" si="87">SUM(B277:M277)</f>
        <v>0</v>
      </c>
      <c r="O277" s="22">
        <f t="shared" ref="O277" si="88">IF(N277=0,0,AVERAGE(B277:M277))</f>
        <v>0</v>
      </c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s="9" customFormat="1" ht="15.75">
      <c r="A278" s="37" t="s">
        <v>33</v>
      </c>
      <c r="B278" s="21">
        <v>0</v>
      </c>
      <c r="C278" s="21">
        <v>0</v>
      </c>
      <c r="D278" s="21">
        <v>0</v>
      </c>
      <c r="E278" s="21">
        <v>0</v>
      </c>
      <c r="F278" s="21">
        <v>0</v>
      </c>
      <c r="G278" s="21">
        <v>0</v>
      </c>
      <c r="H278" s="21">
        <v>0</v>
      </c>
      <c r="I278" s="21">
        <v>1</v>
      </c>
      <c r="J278" s="21">
        <v>0</v>
      </c>
      <c r="K278" s="21">
        <v>0</v>
      </c>
      <c r="L278" s="21">
        <v>1</v>
      </c>
      <c r="M278" s="21">
        <v>0</v>
      </c>
      <c r="N278" s="150">
        <f t="shared" si="85"/>
        <v>2</v>
      </c>
      <c r="O278" s="22">
        <f t="shared" si="86"/>
        <v>0.16666666666666666</v>
      </c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s="9" customFormat="1" ht="15.75">
      <c r="A279" s="37" t="s">
        <v>34</v>
      </c>
      <c r="B279" s="21">
        <v>0</v>
      </c>
      <c r="C279" s="21">
        <v>1</v>
      </c>
      <c r="D279" s="21">
        <v>0</v>
      </c>
      <c r="E279" s="21">
        <v>1</v>
      </c>
      <c r="F279" s="21">
        <v>1</v>
      </c>
      <c r="G279" s="21">
        <v>0</v>
      </c>
      <c r="H279" s="21">
        <v>1</v>
      </c>
      <c r="I279" s="21">
        <v>1</v>
      </c>
      <c r="J279" s="21">
        <v>0</v>
      </c>
      <c r="K279" s="21">
        <v>0</v>
      </c>
      <c r="L279" s="21">
        <v>0</v>
      </c>
      <c r="M279" s="21">
        <v>1</v>
      </c>
      <c r="N279" s="150">
        <f t="shared" si="85"/>
        <v>6</v>
      </c>
      <c r="O279" s="22">
        <f t="shared" si="86"/>
        <v>0.5</v>
      </c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s="9" customFormat="1" ht="15.75">
      <c r="A280" s="37" t="s">
        <v>35</v>
      </c>
      <c r="B280" s="21">
        <v>0</v>
      </c>
      <c r="C280" s="21">
        <v>1</v>
      </c>
      <c r="D280" s="21">
        <v>1</v>
      </c>
      <c r="E280" s="21">
        <v>2</v>
      </c>
      <c r="F280" s="21">
        <v>0</v>
      </c>
      <c r="G280" s="21">
        <v>0</v>
      </c>
      <c r="H280" s="21">
        <v>0</v>
      </c>
      <c r="I280" s="21">
        <v>0</v>
      </c>
      <c r="J280" s="21">
        <v>0</v>
      </c>
      <c r="K280" s="21">
        <v>0</v>
      </c>
      <c r="L280" s="21">
        <v>0</v>
      </c>
      <c r="M280" s="21">
        <v>0</v>
      </c>
      <c r="N280" s="150">
        <f t="shared" si="85"/>
        <v>4</v>
      </c>
      <c r="O280" s="22">
        <f t="shared" si="86"/>
        <v>0.33333333333333331</v>
      </c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s="9" customFormat="1" ht="15.75">
      <c r="A281" s="23" t="s">
        <v>21</v>
      </c>
      <c r="B281" s="24">
        <f t="shared" ref="B281:L281" si="89">IF(SUM(B264:B280)=0,"",SUM(B264:B280))</f>
        <v>12</v>
      </c>
      <c r="C281" s="24">
        <f t="shared" si="89"/>
        <v>15</v>
      </c>
      <c r="D281" s="24">
        <f t="shared" ref="D281:E281" si="90">IF(SUM(D264:D280)=0,"",SUM(D264:D280))</f>
        <v>10</v>
      </c>
      <c r="E281" s="24">
        <f t="shared" si="90"/>
        <v>14</v>
      </c>
      <c r="F281" s="24">
        <f t="shared" si="89"/>
        <v>9</v>
      </c>
      <c r="G281" s="24">
        <f t="shared" si="89"/>
        <v>12</v>
      </c>
      <c r="H281" s="24">
        <f t="shared" si="89"/>
        <v>8</v>
      </c>
      <c r="I281" s="24">
        <f t="shared" si="89"/>
        <v>11</v>
      </c>
      <c r="J281" s="24">
        <f t="shared" si="89"/>
        <v>9</v>
      </c>
      <c r="K281" s="24">
        <f t="shared" si="89"/>
        <v>13</v>
      </c>
      <c r="L281" s="24">
        <f t="shared" si="89"/>
        <v>8</v>
      </c>
      <c r="M281" s="24">
        <f t="shared" ref="M281" si="91">IF(SUM(M264:M280)=0,"",SUM(M264:M280))</f>
        <v>9</v>
      </c>
      <c r="N281" s="144">
        <f>SUM(N264:N280)</f>
        <v>130</v>
      </c>
      <c r="O281" s="25">
        <f>SUM(O264:O280)</f>
        <v>10.833333333333332</v>
      </c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s="9" customFormat="1">
      <c r="A282" s="26"/>
      <c r="B282" s="27"/>
      <c r="C282" s="27"/>
      <c r="D282" s="27"/>
      <c r="E282" s="28"/>
      <c r="F282" s="28"/>
      <c r="G282" s="28"/>
      <c r="H282" s="28"/>
      <c r="I282" s="28"/>
      <c r="J282" s="28"/>
      <c r="K282" s="28"/>
      <c r="L282" s="28"/>
      <c r="M282" s="28"/>
      <c r="N282" s="151"/>
      <c r="O282" s="16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s="9" customFormat="1" ht="15.75">
      <c r="A283" s="187" t="s">
        <v>73</v>
      </c>
      <c r="B283" s="188"/>
      <c r="C283" s="188"/>
      <c r="D283" s="188"/>
      <c r="E283" s="188"/>
      <c r="F283" s="188"/>
      <c r="G283" s="188"/>
      <c r="H283" s="188"/>
      <c r="I283" s="188"/>
      <c r="J283" s="188"/>
      <c r="K283" s="188"/>
      <c r="L283" s="188"/>
      <c r="M283" s="188"/>
      <c r="N283" s="189"/>
      <c r="O283" s="190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s="9" customFormat="1" ht="15.75">
      <c r="A284" s="37" t="s">
        <v>62</v>
      </c>
      <c r="B284" s="21">
        <v>0</v>
      </c>
      <c r="C284" s="21">
        <v>1</v>
      </c>
      <c r="D284" s="21">
        <v>0</v>
      </c>
      <c r="E284" s="21">
        <v>0</v>
      </c>
      <c r="F284" s="21">
        <v>0</v>
      </c>
      <c r="G284" s="21">
        <v>1</v>
      </c>
      <c r="H284" s="21">
        <v>0</v>
      </c>
      <c r="I284" s="21">
        <v>0</v>
      </c>
      <c r="J284" s="21">
        <v>1</v>
      </c>
      <c r="K284" s="21">
        <v>0</v>
      </c>
      <c r="L284" s="21">
        <v>1</v>
      </c>
      <c r="M284" s="21">
        <v>0</v>
      </c>
      <c r="N284" s="150">
        <f>SUM(B284:M284)</f>
        <v>4</v>
      </c>
      <c r="O284" s="22">
        <f>IF(N284=0,0,AVERAGE(B284:M284))</f>
        <v>0.33333333333333331</v>
      </c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s="9" customFormat="1" ht="15.75">
      <c r="A285" s="37" t="s">
        <v>63</v>
      </c>
      <c r="B285" s="21">
        <v>1</v>
      </c>
      <c r="C285" s="21">
        <v>2</v>
      </c>
      <c r="D285" s="21">
        <v>1</v>
      </c>
      <c r="E285" s="21">
        <v>0</v>
      </c>
      <c r="F285" s="21">
        <v>2</v>
      </c>
      <c r="G285" s="21">
        <v>1</v>
      </c>
      <c r="H285" s="21">
        <v>1</v>
      </c>
      <c r="I285" s="21">
        <v>0</v>
      </c>
      <c r="J285" s="21">
        <v>0</v>
      </c>
      <c r="K285" s="21">
        <v>1</v>
      </c>
      <c r="L285" s="21">
        <v>1</v>
      </c>
      <c r="M285" s="21">
        <v>1</v>
      </c>
      <c r="N285" s="150">
        <f t="shared" ref="N285:N290" si="92">SUM(B285:M285)</f>
        <v>11</v>
      </c>
      <c r="O285" s="22">
        <f t="shared" ref="O285:O290" si="93">IF(N285=0,0,AVERAGE(B285:M285))</f>
        <v>0.91666666666666663</v>
      </c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s="9" customFormat="1" ht="15.75">
      <c r="A286" s="37" t="s">
        <v>64</v>
      </c>
      <c r="B286" s="21">
        <v>2</v>
      </c>
      <c r="C286" s="21">
        <v>1</v>
      </c>
      <c r="D286" s="21">
        <v>0</v>
      </c>
      <c r="E286" s="21">
        <v>0</v>
      </c>
      <c r="F286" s="21">
        <v>0</v>
      </c>
      <c r="G286" s="21">
        <v>0</v>
      </c>
      <c r="H286" s="21">
        <v>1</v>
      </c>
      <c r="I286" s="21">
        <v>0</v>
      </c>
      <c r="J286" s="21">
        <v>2</v>
      </c>
      <c r="K286" s="21">
        <v>1</v>
      </c>
      <c r="L286" s="21">
        <v>1</v>
      </c>
      <c r="M286" s="21">
        <v>1</v>
      </c>
      <c r="N286" s="150">
        <f t="shared" si="92"/>
        <v>9</v>
      </c>
      <c r="O286" s="22">
        <f t="shared" si="93"/>
        <v>0.75</v>
      </c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s="9" customFormat="1" ht="15.75">
      <c r="A287" s="37" t="s">
        <v>65</v>
      </c>
      <c r="B287" s="21">
        <v>0</v>
      </c>
      <c r="C287" s="21">
        <v>1</v>
      </c>
      <c r="D287" s="21">
        <v>0</v>
      </c>
      <c r="E287" s="21">
        <v>0</v>
      </c>
      <c r="F287" s="21">
        <v>3</v>
      </c>
      <c r="G287" s="21">
        <v>3</v>
      </c>
      <c r="H287" s="21">
        <v>0</v>
      </c>
      <c r="I287" s="21">
        <v>4</v>
      </c>
      <c r="J287" s="21">
        <v>0</v>
      </c>
      <c r="K287" s="21">
        <v>2</v>
      </c>
      <c r="L287" s="21">
        <v>0</v>
      </c>
      <c r="M287" s="21">
        <v>1</v>
      </c>
      <c r="N287" s="150">
        <f t="shared" si="92"/>
        <v>14</v>
      </c>
      <c r="O287" s="22">
        <f t="shared" si="93"/>
        <v>1.1666666666666667</v>
      </c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s="9" customFormat="1" ht="15.75">
      <c r="A288" s="37" t="s">
        <v>66</v>
      </c>
      <c r="B288" s="21">
        <v>3</v>
      </c>
      <c r="C288" s="21">
        <v>6</v>
      </c>
      <c r="D288" s="21">
        <v>1</v>
      </c>
      <c r="E288" s="21">
        <v>3</v>
      </c>
      <c r="F288" s="21">
        <v>3</v>
      </c>
      <c r="G288" s="21">
        <v>1</v>
      </c>
      <c r="H288" s="21">
        <v>0</v>
      </c>
      <c r="I288" s="21">
        <v>3</v>
      </c>
      <c r="J288" s="21">
        <v>3</v>
      </c>
      <c r="K288" s="21">
        <v>3</v>
      </c>
      <c r="L288" s="21">
        <v>3</v>
      </c>
      <c r="M288" s="21">
        <v>1</v>
      </c>
      <c r="N288" s="150">
        <f t="shared" si="92"/>
        <v>30</v>
      </c>
      <c r="O288" s="22">
        <f t="shared" si="93"/>
        <v>2.5</v>
      </c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s="9" customFormat="1" ht="15.75">
      <c r="A289" s="37" t="s">
        <v>67</v>
      </c>
      <c r="B289" s="21">
        <v>3</v>
      </c>
      <c r="C289" s="21">
        <v>5</v>
      </c>
      <c r="D289" s="21">
        <v>4</v>
      </c>
      <c r="E289" s="21">
        <v>5</v>
      </c>
      <c r="F289" s="21">
        <v>1</v>
      </c>
      <c r="G289" s="21">
        <v>4</v>
      </c>
      <c r="H289" s="21">
        <v>5</v>
      </c>
      <c r="I289" s="21">
        <v>1</v>
      </c>
      <c r="J289" s="21">
        <v>2</v>
      </c>
      <c r="K289" s="21">
        <v>4</v>
      </c>
      <c r="L289" s="21">
        <v>2</v>
      </c>
      <c r="M289" s="21">
        <v>4</v>
      </c>
      <c r="N289" s="150">
        <f t="shared" si="92"/>
        <v>40</v>
      </c>
      <c r="O289" s="22">
        <f t="shared" si="93"/>
        <v>3.3333333333333335</v>
      </c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s="9" customFormat="1" ht="15.75">
      <c r="A290" s="37" t="s">
        <v>68</v>
      </c>
      <c r="B290" s="21">
        <v>3</v>
      </c>
      <c r="C290" s="21">
        <v>0</v>
      </c>
      <c r="D290" s="21">
        <v>4</v>
      </c>
      <c r="E290" s="21">
        <v>6</v>
      </c>
      <c r="F290" s="21">
        <v>3</v>
      </c>
      <c r="G290" s="21">
        <v>2</v>
      </c>
      <c r="H290" s="21">
        <v>2</v>
      </c>
      <c r="I290" s="21">
        <v>5</v>
      </c>
      <c r="J290" s="21">
        <v>1</v>
      </c>
      <c r="K290" s="21">
        <v>2</v>
      </c>
      <c r="L290" s="21">
        <v>1</v>
      </c>
      <c r="M290" s="21">
        <v>1</v>
      </c>
      <c r="N290" s="150">
        <f t="shared" si="92"/>
        <v>30</v>
      </c>
      <c r="O290" s="22">
        <f t="shared" si="93"/>
        <v>2.5</v>
      </c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s="9" customFormat="1" ht="15.75">
      <c r="A291" s="23" t="s">
        <v>21</v>
      </c>
      <c r="B291" s="24">
        <f>IF(SUM(B284:B290)=0,"",SUM(B284:B290))</f>
        <v>12</v>
      </c>
      <c r="C291" s="24">
        <f t="shared" ref="C291:M291" si="94">IF(SUM(C284:C290)=0,"",SUM(C284:C290))</f>
        <v>16</v>
      </c>
      <c r="D291" s="24">
        <f t="shared" si="94"/>
        <v>10</v>
      </c>
      <c r="E291" s="24">
        <f t="shared" ref="E291" si="95">IF(SUM(E284:E290)=0,"",SUM(E284:E290))</f>
        <v>14</v>
      </c>
      <c r="F291" s="24">
        <f t="shared" si="94"/>
        <v>12</v>
      </c>
      <c r="G291" s="24">
        <f t="shared" si="94"/>
        <v>12</v>
      </c>
      <c r="H291" s="24">
        <f t="shared" si="94"/>
        <v>9</v>
      </c>
      <c r="I291" s="24">
        <f t="shared" si="94"/>
        <v>13</v>
      </c>
      <c r="J291" s="24">
        <f t="shared" si="94"/>
        <v>9</v>
      </c>
      <c r="K291" s="24">
        <f t="shared" si="94"/>
        <v>13</v>
      </c>
      <c r="L291" s="24">
        <f t="shared" si="94"/>
        <v>9</v>
      </c>
      <c r="M291" s="24">
        <f t="shared" si="94"/>
        <v>9</v>
      </c>
      <c r="N291" s="144">
        <f>SUM(N284:N290)</f>
        <v>138</v>
      </c>
      <c r="O291" s="25">
        <f>SUM(O284:O290)</f>
        <v>11.5</v>
      </c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s="9" customFormat="1" ht="15.75">
      <c r="A292" s="26"/>
      <c r="B292" s="27"/>
      <c r="C292" s="27"/>
      <c r="D292" s="27"/>
      <c r="E292" s="28"/>
      <c r="F292" s="28"/>
      <c r="G292" s="28"/>
      <c r="H292" s="28"/>
      <c r="I292" s="28"/>
      <c r="J292" s="28"/>
      <c r="K292" s="28"/>
      <c r="L292" s="28"/>
      <c r="M292" s="28"/>
      <c r="N292" s="151"/>
      <c r="O292" s="29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s="9" customFormat="1" ht="15.75">
      <c r="A293" s="187" t="s">
        <v>639</v>
      </c>
      <c r="B293" s="188"/>
      <c r="C293" s="188"/>
      <c r="D293" s="188"/>
      <c r="E293" s="188"/>
      <c r="F293" s="188"/>
      <c r="G293" s="188"/>
      <c r="H293" s="188"/>
      <c r="I293" s="188"/>
      <c r="J293" s="188"/>
      <c r="K293" s="188"/>
      <c r="L293" s="188"/>
      <c r="M293" s="188"/>
      <c r="N293" s="189"/>
      <c r="O293" s="190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s="9" customFormat="1" ht="15.75">
      <c r="A294" s="40" t="s">
        <v>18</v>
      </c>
      <c r="B294" s="322">
        <v>12</v>
      </c>
      <c r="C294" s="322">
        <v>11</v>
      </c>
      <c r="D294" s="322">
        <v>7</v>
      </c>
      <c r="E294" s="21">
        <v>10</v>
      </c>
      <c r="F294" s="21">
        <v>21</v>
      </c>
      <c r="G294" s="21">
        <v>12</v>
      </c>
      <c r="H294" s="21">
        <v>18</v>
      </c>
      <c r="I294" s="21">
        <v>19</v>
      </c>
      <c r="J294" s="21">
        <v>11</v>
      </c>
      <c r="K294" s="21">
        <v>8</v>
      </c>
      <c r="L294" s="21">
        <v>9</v>
      </c>
      <c r="M294" s="21">
        <v>12</v>
      </c>
      <c r="N294" s="150">
        <f>SUM(B294:M294)</f>
        <v>150</v>
      </c>
      <c r="O294" s="22">
        <f>IF(N294=0,0,AVERAGE(B294:M294))</f>
        <v>12.5</v>
      </c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s="9" customFormat="1" ht="15.75">
      <c r="A295" s="40" t="s">
        <v>19</v>
      </c>
      <c r="B295" s="322">
        <v>13</v>
      </c>
      <c r="C295" s="322">
        <v>15</v>
      </c>
      <c r="D295" s="322">
        <v>14</v>
      </c>
      <c r="E295" s="21">
        <v>14</v>
      </c>
      <c r="F295" s="21">
        <v>12</v>
      </c>
      <c r="G295" s="21">
        <v>22</v>
      </c>
      <c r="H295" s="21">
        <v>9</v>
      </c>
      <c r="I295" s="21">
        <v>9</v>
      </c>
      <c r="J295" s="21">
        <v>20</v>
      </c>
      <c r="K295" s="21">
        <v>10</v>
      </c>
      <c r="L295" s="21">
        <v>20</v>
      </c>
      <c r="M295" s="21">
        <v>4</v>
      </c>
      <c r="N295" s="150">
        <f>SUM(B295:M295)</f>
        <v>162</v>
      </c>
      <c r="O295" s="22">
        <f>IF(N295=0,0,AVERAGE(B295:M295))</f>
        <v>13.5</v>
      </c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s="9" customFormat="1" ht="15.75">
      <c r="A296" s="40" t="s">
        <v>20</v>
      </c>
      <c r="B296" s="322">
        <v>22</v>
      </c>
      <c r="C296" s="322">
        <v>23</v>
      </c>
      <c r="D296" s="322">
        <v>18</v>
      </c>
      <c r="E296" s="21">
        <v>13</v>
      </c>
      <c r="F296" s="21">
        <v>9</v>
      </c>
      <c r="G296" s="21">
        <v>17</v>
      </c>
      <c r="H296" s="21">
        <v>23</v>
      </c>
      <c r="I296" s="21">
        <v>28</v>
      </c>
      <c r="J296" s="21">
        <v>17</v>
      </c>
      <c r="K296" s="21">
        <v>13</v>
      </c>
      <c r="L296" s="21">
        <v>10</v>
      </c>
      <c r="M296" s="21">
        <v>18</v>
      </c>
      <c r="N296" s="150">
        <f>SUM(B296:M296)</f>
        <v>211</v>
      </c>
      <c r="O296" s="22">
        <f>IF(N296=0,0,AVERAGE(B296:M296))</f>
        <v>17.583333333333332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s="9" customFormat="1" ht="15.75">
      <c r="A297" s="23" t="s">
        <v>21</v>
      </c>
      <c r="B297" s="24">
        <f>IF(SUM(B294:B296)=0,"",SUM(B294:B296))</f>
        <v>47</v>
      </c>
      <c r="C297" s="24">
        <f t="shared" ref="C297:M297" si="96">IF(SUM(C294:C296)=0,"",SUM(C294:C296))</f>
        <v>49</v>
      </c>
      <c r="D297" s="24">
        <f t="shared" si="96"/>
        <v>39</v>
      </c>
      <c r="E297" s="24">
        <f t="shared" si="96"/>
        <v>37</v>
      </c>
      <c r="F297" s="24">
        <f t="shared" si="96"/>
        <v>42</v>
      </c>
      <c r="G297" s="24">
        <f t="shared" si="96"/>
        <v>51</v>
      </c>
      <c r="H297" s="24">
        <f t="shared" si="96"/>
        <v>50</v>
      </c>
      <c r="I297" s="24">
        <f t="shared" si="96"/>
        <v>56</v>
      </c>
      <c r="J297" s="24">
        <f t="shared" si="96"/>
        <v>48</v>
      </c>
      <c r="K297" s="24">
        <f t="shared" si="96"/>
        <v>31</v>
      </c>
      <c r="L297" s="24">
        <f t="shared" si="96"/>
        <v>39</v>
      </c>
      <c r="M297" s="24">
        <f t="shared" si="96"/>
        <v>34</v>
      </c>
      <c r="N297" s="144">
        <f>SUM(N294:N296)</f>
        <v>523</v>
      </c>
      <c r="O297" s="25">
        <f>SUM(O294:O296)</f>
        <v>43.583333333333329</v>
      </c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s="9" customFormat="1">
      <c r="A298" s="33"/>
      <c r="B298" s="34"/>
      <c r="C298" s="34"/>
      <c r="D298" s="34"/>
      <c r="E298" s="35"/>
      <c r="F298" s="35"/>
      <c r="G298" s="35"/>
      <c r="H298" s="35"/>
      <c r="I298" s="35"/>
      <c r="J298" s="35"/>
      <c r="K298" s="35"/>
      <c r="L298" s="35"/>
      <c r="M298" s="35"/>
      <c r="N298" s="153"/>
      <c r="O298" s="16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s="9" customFormat="1" ht="15.75">
      <c r="A299" s="187" t="s">
        <v>640</v>
      </c>
      <c r="B299" s="188"/>
      <c r="C299" s="188"/>
      <c r="D299" s="188"/>
      <c r="E299" s="188"/>
      <c r="F299" s="188"/>
      <c r="G299" s="188"/>
      <c r="H299" s="188"/>
      <c r="I299" s="188"/>
      <c r="J299" s="188"/>
      <c r="K299" s="188"/>
      <c r="L299" s="188"/>
      <c r="M299" s="188"/>
      <c r="N299" s="189"/>
      <c r="O299" s="190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s="9" customFormat="1" ht="15.75">
      <c r="A300" s="44" t="s">
        <v>18</v>
      </c>
      <c r="B300" s="322">
        <v>0</v>
      </c>
      <c r="C300" s="322">
        <v>0</v>
      </c>
      <c r="D300" s="322">
        <v>0</v>
      </c>
      <c r="E300" s="322">
        <v>0</v>
      </c>
      <c r="F300" s="21">
        <v>0</v>
      </c>
      <c r="G300" s="38">
        <v>0</v>
      </c>
      <c r="H300" s="38">
        <v>0</v>
      </c>
      <c r="I300" s="38">
        <v>1</v>
      </c>
      <c r="J300" s="38">
        <v>0</v>
      </c>
      <c r="K300" s="38">
        <v>1</v>
      </c>
      <c r="L300" s="38">
        <v>1</v>
      </c>
      <c r="M300" s="38">
        <v>0</v>
      </c>
      <c r="N300" s="155">
        <f>SUM(B300:M300)</f>
        <v>3</v>
      </c>
      <c r="O300" s="45">
        <f>IF(N300=0,0,AVERAGE(B300:M300))</f>
        <v>0.25</v>
      </c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s="9" customFormat="1" ht="15.75">
      <c r="A301" s="44" t="s">
        <v>19</v>
      </c>
      <c r="B301" s="322">
        <v>4</v>
      </c>
      <c r="C301" s="322">
        <v>3</v>
      </c>
      <c r="D301" s="322">
        <v>2</v>
      </c>
      <c r="E301" s="322">
        <v>0</v>
      </c>
      <c r="F301" s="21">
        <v>2</v>
      </c>
      <c r="G301" s="38">
        <v>0</v>
      </c>
      <c r="H301" s="38">
        <v>3</v>
      </c>
      <c r="I301" s="38">
        <v>1</v>
      </c>
      <c r="J301" s="38">
        <v>4</v>
      </c>
      <c r="K301" s="38">
        <v>4</v>
      </c>
      <c r="L301" s="38">
        <v>0</v>
      </c>
      <c r="M301" s="38">
        <v>1</v>
      </c>
      <c r="N301" s="155">
        <f>SUM(B301:M301)</f>
        <v>24</v>
      </c>
      <c r="O301" s="45">
        <f>IF(N301=0,0,AVERAGE(B301:M301))</f>
        <v>2</v>
      </c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s="9" customFormat="1" ht="15.75">
      <c r="A302" s="44" t="s">
        <v>20</v>
      </c>
      <c r="B302" s="322">
        <v>1</v>
      </c>
      <c r="C302" s="322">
        <v>0</v>
      </c>
      <c r="D302" s="322">
        <v>0</v>
      </c>
      <c r="E302" s="322">
        <v>1</v>
      </c>
      <c r="F302" s="21">
        <v>0</v>
      </c>
      <c r="G302" s="38">
        <v>0</v>
      </c>
      <c r="H302" s="38">
        <v>0</v>
      </c>
      <c r="I302" s="38">
        <v>0</v>
      </c>
      <c r="J302" s="38">
        <v>0</v>
      </c>
      <c r="K302" s="38">
        <v>0</v>
      </c>
      <c r="L302" s="38">
        <v>0</v>
      </c>
      <c r="M302" s="38">
        <v>0</v>
      </c>
      <c r="N302" s="155">
        <f>SUM(B302:M302)</f>
        <v>2</v>
      </c>
      <c r="O302" s="45">
        <f>IF(N302=0,0,AVERAGE(B302:M302))</f>
        <v>0.16666666666666666</v>
      </c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s="9" customFormat="1" ht="15.75">
      <c r="A303" s="46" t="s">
        <v>21</v>
      </c>
      <c r="B303" s="24">
        <f>IF(SUM(B300:B302)=0,"",SUM(B300:B302))</f>
        <v>5</v>
      </c>
      <c r="C303" s="24">
        <f t="shared" ref="C303:M303" si="97">IF(SUM(C300:C302)=0,"",SUM(C300:C302))</f>
        <v>3</v>
      </c>
      <c r="D303" s="24">
        <f t="shared" si="97"/>
        <v>2</v>
      </c>
      <c r="E303" s="24">
        <f t="shared" ref="E303" si="98">IF(SUM(E300:E302)=0,"",SUM(E300:E302))</f>
        <v>1</v>
      </c>
      <c r="F303" s="24">
        <f t="shared" si="97"/>
        <v>2</v>
      </c>
      <c r="G303" s="24">
        <v>0</v>
      </c>
      <c r="H303" s="24">
        <f t="shared" si="97"/>
        <v>3</v>
      </c>
      <c r="I303" s="24">
        <f t="shared" si="97"/>
        <v>2</v>
      </c>
      <c r="J303" s="24">
        <f t="shared" si="97"/>
        <v>4</v>
      </c>
      <c r="K303" s="24">
        <f t="shared" si="97"/>
        <v>5</v>
      </c>
      <c r="L303" s="24">
        <f t="shared" si="97"/>
        <v>1</v>
      </c>
      <c r="M303" s="24">
        <f t="shared" si="97"/>
        <v>1</v>
      </c>
      <c r="N303" s="156">
        <f>SUM(N300:N302)</f>
        <v>29</v>
      </c>
      <c r="O303" s="48">
        <f>SUM(O300:O302)</f>
        <v>2.4166666666666665</v>
      </c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s="9" customFormat="1">
      <c r="A304" s="49"/>
      <c r="B304" s="50"/>
      <c r="C304" s="50"/>
      <c r="D304" s="50"/>
      <c r="E304" s="51"/>
      <c r="F304" s="51"/>
      <c r="G304" s="51"/>
      <c r="H304" s="51"/>
      <c r="I304" s="51"/>
      <c r="J304" s="51"/>
      <c r="K304" s="51"/>
      <c r="L304" s="51"/>
      <c r="M304" s="51"/>
      <c r="N304" s="157"/>
      <c r="O304" s="16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s="9" customFormat="1" ht="15.75">
      <c r="A305" s="187" t="s">
        <v>74</v>
      </c>
      <c r="B305" s="188"/>
      <c r="C305" s="188"/>
      <c r="D305" s="188"/>
      <c r="E305" s="188"/>
      <c r="F305" s="188"/>
      <c r="G305" s="188"/>
      <c r="H305" s="188"/>
      <c r="I305" s="188"/>
      <c r="J305" s="188"/>
      <c r="K305" s="188"/>
      <c r="L305" s="188"/>
      <c r="M305" s="188"/>
      <c r="N305" s="189"/>
      <c r="O305" s="190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s="9" customFormat="1" ht="15.75">
      <c r="A306" s="37" t="s">
        <v>29</v>
      </c>
      <c r="B306" s="348">
        <f t="shared" ref="B306:G306" si="99">IF(ISERR(B192+B218),"0",(B192+B218))</f>
        <v>0</v>
      </c>
      <c r="C306" s="348">
        <f t="shared" si="99"/>
        <v>1</v>
      </c>
      <c r="D306" s="348">
        <f t="shared" si="99"/>
        <v>1</v>
      </c>
      <c r="E306" s="348">
        <f t="shared" si="99"/>
        <v>4</v>
      </c>
      <c r="F306" s="348">
        <f t="shared" si="99"/>
        <v>1</v>
      </c>
      <c r="G306" s="348">
        <f t="shared" si="99"/>
        <v>10</v>
      </c>
      <c r="H306" s="348">
        <f t="shared" ref="H306:J306" si="100">IF(ISERR(H192+H218),"0",(H192+H218))</f>
        <v>5</v>
      </c>
      <c r="I306" s="348">
        <f t="shared" si="100"/>
        <v>0</v>
      </c>
      <c r="J306" s="348">
        <f t="shared" si="100"/>
        <v>3</v>
      </c>
      <c r="K306" s="348">
        <f t="shared" ref="K306:L306" si="101">IF(ISERR(K192+K218),"0",(K192+K218))</f>
        <v>1</v>
      </c>
      <c r="L306" s="348">
        <f t="shared" si="101"/>
        <v>0</v>
      </c>
      <c r="M306" s="348">
        <f t="shared" ref="M306" si="102">IF(ISERR(M192+M218),"0",(M192+M218))</f>
        <v>1</v>
      </c>
      <c r="N306" s="182">
        <f>SUM(B306:M306)</f>
        <v>27</v>
      </c>
      <c r="O306" s="22">
        <f t="shared" ref="O306:O322" si="103">IF(N306=0,0,AVERAGE(B306:M306))</f>
        <v>2.25</v>
      </c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s="9" customFormat="1" ht="15.75">
      <c r="A307" s="37" t="s">
        <v>26</v>
      </c>
      <c r="B307" s="348">
        <f t="shared" ref="B307:C307" si="104">B193+B219</f>
        <v>0</v>
      </c>
      <c r="C307" s="348">
        <f t="shared" si="104"/>
        <v>4</v>
      </c>
      <c r="D307" s="348">
        <f t="shared" ref="D307:E307" si="105">D193+D219</f>
        <v>0</v>
      </c>
      <c r="E307" s="348">
        <f t="shared" si="105"/>
        <v>0</v>
      </c>
      <c r="F307" s="348">
        <f t="shared" ref="F307:G307" si="106">F193+F219</f>
        <v>1</v>
      </c>
      <c r="G307" s="348">
        <f t="shared" si="106"/>
        <v>3</v>
      </c>
      <c r="H307" s="348">
        <f t="shared" ref="H307:I307" si="107">H193+H219</f>
        <v>0</v>
      </c>
      <c r="I307" s="348">
        <f t="shared" si="107"/>
        <v>4</v>
      </c>
      <c r="J307" s="348">
        <f t="shared" ref="J307:K307" si="108">J193+J219</f>
        <v>2</v>
      </c>
      <c r="K307" s="348">
        <f t="shared" si="108"/>
        <v>14</v>
      </c>
      <c r="L307" s="348">
        <f t="shared" ref="L307:M307" si="109">L193+L219</f>
        <v>10</v>
      </c>
      <c r="M307" s="348">
        <f t="shared" si="109"/>
        <v>22</v>
      </c>
      <c r="N307" s="182">
        <f t="shared" ref="N307:N322" si="110">SUM(B307:M307)</f>
        <v>60</v>
      </c>
      <c r="O307" s="22">
        <f t="shared" si="103"/>
        <v>5</v>
      </c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s="9" customFormat="1" ht="15.75">
      <c r="A308" s="37" t="s">
        <v>321</v>
      </c>
      <c r="B308" s="348">
        <f t="shared" ref="B308:C308" si="111">B194+B220</f>
        <v>0</v>
      </c>
      <c r="C308" s="348">
        <f t="shared" si="111"/>
        <v>1</v>
      </c>
      <c r="D308" s="348">
        <f t="shared" ref="D308:E308" si="112">D194+D220</f>
        <v>1</v>
      </c>
      <c r="E308" s="348">
        <f t="shared" si="112"/>
        <v>0</v>
      </c>
      <c r="F308" s="348">
        <f t="shared" ref="F308:G308" si="113">F194+F220</f>
        <v>0</v>
      </c>
      <c r="G308" s="348">
        <f t="shared" si="113"/>
        <v>0</v>
      </c>
      <c r="H308" s="348">
        <f t="shared" ref="H308:I308" si="114">H194+H220</f>
        <v>0</v>
      </c>
      <c r="I308" s="348">
        <f t="shared" si="114"/>
        <v>0</v>
      </c>
      <c r="J308" s="348">
        <f t="shared" ref="J308:K308" si="115">J194+J220</f>
        <v>0</v>
      </c>
      <c r="K308" s="348">
        <f t="shared" si="115"/>
        <v>1</v>
      </c>
      <c r="L308" s="348">
        <f t="shared" ref="L308:M308" si="116">L194+L220</f>
        <v>0</v>
      </c>
      <c r="M308" s="348">
        <f t="shared" si="116"/>
        <v>2</v>
      </c>
      <c r="N308" s="182">
        <f t="shared" si="110"/>
        <v>5</v>
      </c>
      <c r="O308" s="22">
        <f t="shared" si="103"/>
        <v>0.41666666666666669</v>
      </c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s="9" customFormat="1" ht="15.75">
      <c r="A309" s="37" t="s">
        <v>25</v>
      </c>
      <c r="B309" s="349">
        <f t="shared" ref="B309:C309" si="117">B195+B221+B300</f>
        <v>64</v>
      </c>
      <c r="C309" s="349">
        <f t="shared" si="117"/>
        <v>80</v>
      </c>
      <c r="D309" s="349">
        <f t="shared" ref="D309:E309" si="118">D195+D221+D300</f>
        <v>67</v>
      </c>
      <c r="E309" s="349">
        <f t="shared" si="118"/>
        <v>14</v>
      </c>
      <c r="F309" s="349">
        <f t="shared" ref="F309:G309" si="119">F195+F221+F300</f>
        <v>2</v>
      </c>
      <c r="G309" s="349">
        <f t="shared" si="119"/>
        <v>5</v>
      </c>
      <c r="H309" s="349">
        <f t="shared" ref="H309:I309" si="120">H195+H221+H300</f>
        <v>16</v>
      </c>
      <c r="I309" s="349">
        <f t="shared" si="120"/>
        <v>80</v>
      </c>
      <c r="J309" s="349">
        <f t="shared" ref="J309:K309" si="121">J195+J221+J300</f>
        <v>63</v>
      </c>
      <c r="K309" s="349">
        <f t="shared" si="121"/>
        <v>140</v>
      </c>
      <c r="L309" s="349">
        <f t="shared" ref="L309:M309" si="122">L195+L221+L300</f>
        <v>124</v>
      </c>
      <c r="M309" s="349">
        <f t="shared" si="122"/>
        <v>134</v>
      </c>
      <c r="N309" s="182">
        <f t="shared" si="110"/>
        <v>789</v>
      </c>
      <c r="O309" s="22">
        <f t="shared" si="103"/>
        <v>65.75</v>
      </c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s="9" customFormat="1" ht="15.75">
      <c r="A310" s="37" t="s">
        <v>27</v>
      </c>
      <c r="B310" s="348">
        <f t="shared" ref="B310:C310" si="123">B196+B222</f>
        <v>7</v>
      </c>
      <c r="C310" s="348">
        <f t="shared" si="123"/>
        <v>1</v>
      </c>
      <c r="D310" s="348">
        <f t="shared" ref="D310:E310" si="124">D196+D222</f>
        <v>1</v>
      </c>
      <c r="E310" s="348">
        <f t="shared" si="124"/>
        <v>1</v>
      </c>
      <c r="F310" s="348">
        <f t="shared" ref="F310:G310" si="125">F196+F222</f>
        <v>0</v>
      </c>
      <c r="G310" s="348">
        <f t="shared" si="125"/>
        <v>1</v>
      </c>
      <c r="H310" s="348">
        <f t="shared" ref="H310:I310" si="126">H196+H222</f>
        <v>0</v>
      </c>
      <c r="I310" s="348">
        <f t="shared" si="126"/>
        <v>0</v>
      </c>
      <c r="J310" s="348">
        <f t="shared" ref="J310:K310" si="127">J196+J222</f>
        <v>1</v>
      </c>
      <c r="K310" s="348">
        <f t="shared" si="127"/>
        <v>1</v>
      </c>
      <c r="L310" s="348">
        <f t="shared" ref="L310:M310" si="128">L196+L222</f>
        <v>0</v>
      </c>
      <c r="M310" s="348">
        <f t="shared" si="128"/>
        <v>0</v>
      </c>
      <c r="N310" s="182">
        <f t="shared" si="110"/>
        <v>13</v>
      </c>
      <c r="O310" s="22">
        <f t="shared" si="103"/>
        <v>1.0833333333333333</v>
      </c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s="9" customFormat="1" ht="15.75">
      <c r="A311" s="37" t="s">
        <v>101</v>
      </c>
      <c r="B311" s="348">
        <f t="shared" ref="B311:C311" si="129">B197+B223</f>
        <v>0</v>
      </c>
      <c r="C311" s="348">
        <f t="shared" si="129"/>
        <v>1</v>
      </c>
      <c r="D311" s="348">
        <f t="shared" ref="D311:E311" si="130">D197+D223</f>
        <v>0</v>
      </c>
      <c r="E311" s="348">
        <f t="shared" si="130"/>
        <v>0</v>
      </c>
      <c r="F311" s="348">
        <f t="shared" ref="F311:G311" si="131">F197+F223</f>
        <v>2</v>
      </c>
      <c r="G311" s="348">
        <f t="shared" si="131"/>
        <v>2</v>
      </c>
      <c r="H311" s="348">
        <f t="shared" ref="H311:I311" si="132">H197+H223</f>
        <v>1</v>
      </c>
      <c r="I311" s="348">
        <f t="shared" si="132"/>
        <v>0</v>
      </c>
      <c r="J311" s="348">
        <f t="shared" ref="J311:K311" si="133">J197+J223</f>
        <v>1</v>
      </c>
      <c r="K311" s="348">
        <f t="shared" si="133"/>
        <v>0</v>
      </c>
      <c r="L311" s="348">
        <f t="shared" ref="L311:M311" si="134">L197+L223</f>
        <v>0</v>
      </c>
      <c r="M311" s="348">
        <f t="shared" si="134"/>
        <v>0</v>
      </c>
      <c r="N311" s="182">
        <f t="shared" si="110"/>
        <v>7</v>
      </c>
      <c r="O311" s="22">
        <f t="shared" si="103"/>
        <v>0.58333333333333337</v>
      </c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s="9" customFormat="1" ht="15.75">
      <c r="A312" s="40" t="s">
        <v>19</v>
      </c>
      <c r="B312" s="349">
        <f t="shared" ref="B312:C312" si="135">B198+B224+B301</f>
        <v>27</v>
      </c>
      <c r="C312" s="349">
        <f t="shared" si="135"/>
        <v>21</v>
      </c>
      <c r="D312" s="349">
        <f t="shared" ref="D312:E312" si="136">D198+D224+D301</f>
        <v>31</v>
      </c>
      <c r="E312" s="349">
        <f t="shared" si="136"/>
        <v>20</v>
      </c>
      <c r="F312" s="349">
        <f t="shared" ref="F312:G312" si="137">F198+F224+F301</f>
        <v>20</v>
      </c>
      <c r="G312" s="349">
        <f t="shared" si="137"/>
        <v>20</v>
      </c>
      <c r="H312" s="349">
        <f t="shared" ref="H312:I312" si="138">H198+H224+H301</f>
        <v>44</v>
      </c>
      <c r="I312" s="349">
        <f t="shared" si="138"/>
        <v>19</v>
      </c>
      <c r="J312" s="349">
        <f t="shared" ref="J312:K312" si="139">J198+J224+J301</f>
        <v>33</v>
      </c>
      <c r="K312" s="349">
        <f t="shared" si="139"/>
        <v>33</v>
      </c>
      <c r="L312" s="349">
        <f t="shared" ref="L312:M312" si="140">L198+L224+L301</f>
        <v>36</v>
      </c>
      <c r="M312" s="349">
        <f t="shared" si="140"/>
        <v>25</v>
      </c>
      <c r="N312" s="182">
        <f t="shared" si="110"/>
        <v>329</v>
      </c>
      <c r="O312" s="22">
        <f t="shared" si="103"/>
        <v>27.416666666666668</v>
      </c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s="9" customFormat="1" ht="15.75">
      <c r="A313" s="37" t="s">
        <v>28</v>
      </c>
      <c r="B313" s="348">
        <f t="shared" ref="B313:C313" si="141">B199+B225</f>
        <v>6</v>
      </c>
      <c r="C313" s="348">
        <f t="shared" si="141"/>
        <v>6</v>
      </c>
      <c r="D313" s="348">
        <f t="shared" ref="D313:E313" si="142">D199+D225</f>
        <v>2</v>
      </c>
      <c r="E313" s="348">
        <f t="shared" si="142"/>
        <v>1</v>
      </c>
      <c r="F313" s="348">
        <f t="shared" ref="F313:G313" si="143">F199+F225</f>
        <v>0</v>
      </c>
      <c r="G313" s="348">
        <f t="shared" si="143"/>
        <v>0</v>
      </c>
      <c r="H313" s="348">
        <f t="shared" ref="H313:I313" si="144">H199+H225</f>
        <v>2</v>
      </c>
      <c r="I313" s="348">
        <f t="shared" si="144"/>
        <v>9</v>
      </c>
      <c r="J313" s="348">
        <f t="shared" ref="J313:K313" si="145">J199+J225</f>
        <v>4</v>
      </c>
      <c r="K313" s="348">
        <f t="shared" si="145"/>
        <v>4</v>
      </c>
      <c r="L313" s="348">
        <f t="shared" ref="L313:M313" si="146">L199+L225</f>
        <v>11</v>
      </c>
      <c r="M313" s="348">
        <f t="shared" si="146"/>
        <v>8</v>
      </c>
      <c r="N313" s="182">
        <f t="shared" si="110"/>
        <v>53</v>
      </c>
      <c r="O313" s="22">
        <f t="shared" si="103"/>
        <v>4.416666666666667</v>
      </c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s="9" customFormat="1" ht="15.75">
      <c r="A314" s="37" t="s">
        <v>124</v>
      </c>
      <c r="B314" s="348">
        <f t="shared" ref="B314:C314" si="147">B200+B226</f>
        <v>0</v>
      </c>
      <c r="C314" s="348">
        <f t="shared" si="147"/>
        <v>0</v>
      </c>
      <c r="D314" s="348">
        <f t="shared" ref="D314:E314" si="148">D200+D226</f>
        <v>0</v>
      </c>
      <c r="E314" s="348">
        <f t="shared" si="148"/>
        <v>0</v>
      </c>
      <c r="F314" s="348">
        <f t="shared" ref="F314:G314" si="149">F200+F226</f>
        <v>0</v>
      </c>
      <c r="G314" s="348">
        <f t="shared" si="149"/>
        <v>0</v>
      </c>
      <c r="H314" s="348">
        <f t="shared" ref="H314:I314" si="150">H200+H226</f>
        <v>0</v>
      </c>
      <c r="I314" s="348">
        <f t="shared" si="150"/>
        <v>0</v>
      </c>
      <c r="J314" s="348">
        <f t="shared" ref="J314:K314" si="151">J200+J226</f>
        <v>0</v>
      </c>
      <c r="K314" s="348">
        <f t="shared" si="151"/>
        <v>0</v>
      </c>
      <c r="L314" s="348">
        <f t="shared" ref="L314:M314" si="152">L200+L226</f>
        <v>0</v>
      </c>
      <c r="M314" s="348">
        <f t="shared" si="152"/>
        <v>0</v>
      </c>
      <c r="N314" s="182">
        <f t="shared" si="110"/>
        <v>0</v>
      </c>
      <c r="O314" s="22">
        <f t="shared" si="103"/>
        <v>0</v>
      </c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s="9" customFormat="1" ht="15.75">
      <c r="A315" s="37" t="s">
        <v>31</v>
      </c>
      <c r="B315" s="348">
        <f t="shared" ref="B315:C315" si="153">B201+B227</f>
        <v>8</v>
      </c>
      <c r="C315" s="348">
        <f t="shared" si="153"/>
        <v>2</v>
      </c>
      <c r="D315" s="348">
        <f t="shared" ref="D315:E315" si="154">D201+D227</f>
        <v>2</v>
      </c>
      <c r="E315" s="348">
        <f t="shared" si="154"/>
        <v>1</v>
      </c>
      <c r="F315" s="348">
        <f t="shared" ref="F315:G315" si="155">F201+F227</f>
        <v>1</v>
      </c>
      <c r="G315" s="348">
        <f t="shared" si="155"/>
        <v>0</v>
      </c>
      <c r="H315" s="348">
        <f t="shared" ref="H315:I315" si="156">H201+H227</f>
        <v>0</v>
      </c>
      <c r="I315" s="348">
        <f t="shared" si="156"/>
        <v>4</v>
      </c>
      <c r="J315" s="348">
        <f t="shared" ref="J315:K315" si="157">J201+J227</f>
        <v>4</v>
      </c>
      <c r="K315" s="348">
        <f t="shared" si="157"/>
        <v>1</v>
      </c>
      <c r="L315" s="348">
        <f t="shared" ref="L315:M315" si="158">L201+L227</f>
        <v>1</v>
      </c>
      <c r="M315" s="348">
        <f t="shared" si="158"/>
        <v>1</v>
      </c>
      <c r="N315" s="182">
        <f t="shared" si="110"/>
        <v>25</v>
      </c>
      <c r="O315" s="22">
        <f t="shared" si="103"/>
        <v>2.0833333333333335</v>
      </c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s="9" customFormat="1" ht="15.75">
      <c r="A316" s="37" t="s">
        <v>395</v>
      </c>
      <c r="B316" s="348">
        <f t="shared" ref="B316:C316" si="159">B202+B228</f>
        <v>2</v>
      </c>
      <c r="C316" s="348">
        <f t="shared" si="159"/>
        <v>4</v>
      </c>
      <c r="D316" s="348">
        <f t="shared" ref="D316:E316" si="160">D202+D228</f>
        <v>4</v>
      </c>
      <c r="E316" s="348">
        <f t="shared" si="160"/>
        <v>0</v>
      </c>
      <c r="F316" s="348">
        <f t="shared" ref="F316:G316" si="161">F202+F228</f>
        <v>0</v>
      </c>
      <c r="G316" s="348">
        <f t="shared" si="161"/>
        <v>0</v>
      </c>
      <c r="H316" s="348">
        <f t="shared" ref="H316:I316" si="162">H202+H228</f>
        <v>0</v>
      </c>
      <c r="I316" s="348">
        <f t="shared" si="162"/>
        <v>3</v>
      </c>
      <c r="J316" s="348">
        <f t="shared" ref="J316:K316" si="163">J202+J228</f>
        <v>7</v>
      </c>
      <c r="K316" s="348">
        <f t="shared" si="163"/>
        <v>3</v>
      </c>
      <c r="L316" s="348">
        <f t="shared" ref="L316:M316" si="164">L202+L228</f>
        <v>0</v>
      </c>
      <c r="M316" s="348">
        <f t="shared" si="164"/>
        <v>0</v>
      </c>
      <c r="N316" s="182">
        <f t="shared" si="110"/>
        <v>23</v>
      </c>
      <c r="O316" s="22">
        <f t="shared" si="103"/>
        <v>1.9166666666666667</v>
      </c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s="9" customFormat="1" ht="15.75">
      <c r="A317" s="37" t="s">
        <v>125</v>
      </c>
      <c r="B317" s="348">
        <f t="shared" ref="B317:C317" si="165">B203+B229</f>
        <v>3</v>
      </c>
      <c r="C317" s="348">
        <f t="shared" si="165"/>
        <v>6</v>
      </c>
      <c r="D317" s="348">
        <f t="shared" ref="D317:E317" si="166">D203+D229</f>
        <v>1</v>
      </c>
      <c r="E317" s="348">
        <f t="shared" si="166"/>
        <v>3</v>
      </c>
      <c r="F317" s="348">
        <f t="shared" ref="F317:G317" si="167">F203+F229</f>
        <v>0</v>
      </c>
      <c r="G317" s="348">
        <f t="shared" si="167"/>
        <v>2</v>
      </c>
      <c r="H317" s="348">
        <f t="shared" ref="H317:I317" si="168">H203+H229</f>
        <v>1</v>
      </c>
      <c r="I317" s="348">
        <f t="shared" si="168"/>
        <v>5</v>
      </c>
      <c r="J317" s="348">
        <f t="shared" ref="J317:K317" si="169">J203+J229</f>
        <v>3</v>
      </c>
      <c r="K317" s="348">
        <f t="shared" si="169"/>
        <v>4</v>
      </c>
      <c r="L317" s="348">
        <f t="shared" ref="L317:M317" si="170">L203+L229</f>
        <v>1</v>
      </c>
      <c r="M317" s="348">
        <f t="shared" si="170"/>
        <v>0</v>
      </c>
      <c r="N317" s="182">
        <f t="shared" si="110"/>
        <v>29</v>
      </c>
      <c r="O317" s="22">
        <f t="shared" si="103"/>
        <v>2.4166666666666665</v>
      </c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s="9" customFormat="1" ht="15.75">
      <c r="A318" s="37" t="s">
        <v>32</v>
      </c>
      <c r="B318" s="349">
        <f t="shared" ref="B318:G318" si="171">B204+B230+B302</f>
        <v>13</v>
      </c>
      <c r="C318" s="349">
        <f t="shared" si="171"/>
        <v>15</v>
      </c>
      <c r="D318" s="349">
        <f t="shared" si="171"/>
        <v>12</v>
      </c>
      <c r="E318" s="349">
        <f t="shared" si="171"/>
        <v>4</v>
      </c>
      <c r="F318" s="349">
        <f t="shared" si="171"/>
        <v>8</v>
      </c>
      <c r="G318" s="349">
        <f t="shared" si="171"/>
        <v>8</v>
      </c>
      <c r="H318" s="349">
        <f t="shared" ref="H318:I318" si="172">H204+H230+H302</f>
        <v>4</v>
      </c>
      <c r="I318" s="349">
        <f t="shared" si="172"/>
        <v>9</v>
      </c>
      <c r="J318" s="349">
        <f t="shared" ref="J318:K318" si="173">J204+J230+J302</f>
        <v>11</v>
      </c>
      <c r="K318" s="349">
        <f t="shared" si="173"/>
        <v>7</v>
      </c>
      <c r="L318" s="349">
        <f t="shared" ref="L318:M318" si="174">L204+L230+L302</f>
        <v>7</v>
      </c>
      <c r="M318" s="349">
        <f t="shared" si="174"/>
        <v>5</v>
      </c>
      <c r="N318" s="182">
        <f>SUM(B318:M318)</f>
        <v>103</v>
      </c>
      <c r="O318" s="22">
        <f>IF(N318=0,0,AVERAGE(B318:M318))</f>
        <v>8.5833333333333339</v>
      </c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s="9" customFormat="1" ht="15.75">
      <c r="A319" s="37" t="s">
        <v>389</v>
      </c>
      <c r="B319" s="349">
        <f t="shared" ref="B319:G319" si="175">B205+B231</f>
        <v>0</v>
      </c>
      <c r="C319" s="349">
        <f t="shared" si="175"/>
        <v>0</v>
      </c>
      <c r="D319" s="349">
        <f t="shared" si="175"/>
        <v>0</v>
      </c>
      <c r="E319" s="349">
        <f t="shared" si="175"/>
        <v>0</v>
      </c>
      <c r="F319" s="349">
        <f t="shared" si="175"/>
        <v>0</v>
      </c>
      <c r="G319" s="349">
        <f t="shared" si="175"/>
        <v>0</v>
      </c>
      <c r="H319" s="349">
        <f t="shared" ref="H319:I319" si="176">H205+H231</f>
        <v>0</v>
      </c>
      <c r="I319" s="349">
        <f t="shared" si="176"/>
        <v>0</v>
      </c>
      <c r="J319" s="349">
        <f t="shared" ref="J319:K319" si="177">J205+J231</f>
        <v>0</v>
      </c>
      <c r="K319" s="349">
        <f t="shared" si="177"/>
        <v>0</v>
      </c>
      <c r="L319" s="349">
        <f t="shared" ref="L319:M319" si="178">L205+L231</f>
        <v>0</v>
      </c>
      <c r="M319" s="349">
        <f t="shared" si="178"/>
        <v>0</v>
      </c>
      <c r="N319" s="182">
        <f t="shared" si="110"/>
        <v>0</v>
      </c>
      <c r="O319" s="22">
        <f t="shared" si="103"/>
        <v>0</v>
      </c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s="9" customFormat="1" ht="15.75">
      <c r="A320" s="37" t="s">
        <v>33</v>
      </c>
      <c r="B320" s="348">
        <f t="shared" ref="B320:C320" si="179">B206+B232</f>
        <v>0</v>
      </c>
      <c r="C320" s="348">
        <f t="shared" si="179"/>
        <v>0</v>
      </c>
      <c r="D320" s="348">
        <f t="shared" ref="D320:E320" si="180">D206+D232</f>
        <v>0</v>
      </c>
      <c r="E320" s="348">
        <f t="shared" si="180"/>
        <v>2</v>
      </c>
      <c r="F320" s="348">
        <f t="shared" ref="F320:G320" si="181">F206+F232</f>
        <v>1</v>
      </c>
      <c r="G320" s="348">
        <f t="shared" si="181"/>
        <v>1</v>
      </c>
      <c r="H320" s="348">
        <f t="shared" ref="H320:I320" si="182">H206+H232</f>
        <v>0</v>
      </c>
      <c r="I320" s="348">
        <f t="shared" si="182"/>
        <v>1</v>
      </c>
      <c r="J320" s="348">
        <f t="shared" ref="J320:K320" si="183">J206+J232</f>
        <v>0</v>
      </c>
      <c r="K320" s="348">
        <f t="shared" si="183"/>
        <v>0</v>
      </c>
      <c r="L320" s="348">
        <f t="shared" ref="L320:M320" si="184">L206+L232</f>
        <v>1</v>
      </c>
      <c r="M320" s="348">
        <f t="shared" si="184"/>
        <v>0</v>
      </c>
      <c r="N320" s="182">
        <f t="shared" si="110"/>
        <v>6</v>
      </c>
      <c r="O320" s="22">
        <f t="shared" si="103"/>
        <v>0.5</v>
      </c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s="9" customFormat="1" ht="15.75">
      <c r="A321" s="37" t="s">
        <v>34</v>
      </c>
      <c r="B321" s="348">
        <f t="shared" ref="B321:C321" si="185">B207+B233</f>
        <v>7</v>
      </c>
      <c r="C321" s="348">
        <f t="shared" si="185"/>
        <v>7</v>
      </c>
      <c r="D321" s="348">
        <f t="shared" ref="D321:E321" si="186">D207+D233</f>
        <v>5</v>
      </c>
      <c r="E321" s="348">
        <f t="shared" si="186"/>
        <v>10</v>
      </c>
      <c r="F321" s="348">
        <f t="shared" ref="F321:G321" si="187">F207+F233</f>
        <v>3</v>
      </c>
      <c r="G321" s="348">
        <f t="shared" si="187"/>
        <v>7</v>
      </c>
      <c r="H321" s="348">
        <f t="shared" ref="H321:I321" si="188">H207+H233</f>
        <v>8</v>
      </c>
      <c r="I321" s="348">
        <f t="shared" si="188"/>
        <v>5</v>
      </c>
      <c r="J321" s="348">
        <f t="shared" ref="J321:K321" si="189">J207+J233</f>
        <v>2</v>
      </c>
      <c r="K321" s="348">
        <f t="shared" si="189"/>
        <v>1</v>
      </c>
      <c r="L321" s="348">
        <f t="shared" ref="L321:M321" si="190">L207+L233</f>
        <v>3</v>
      </c>
      <c r="M321" s="348">
        <f t="shared" si="190"/>
        <v>2</v>
      </c>
      <c r="N321" s="182">
        <f t="shared" si="110"/>
        <v>60</v>
      </c>
      <c r="O321" s="22">
        <f t="shared" si="103"/>
        <v>5</v>
      </c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s="9" customFormat="1" ht="15.75">
      <c r="A322" s="37" t="s">
        <v>35</v>
      </c>
      <c r="B322" s="348">
        <f t="shared" ref="B322:G322" si="191">B208+B234</f>
        <v>5</v>
      </c>
      <c r="C322" s="348">
        <f t="shared" si="191"/>
        <v>10</v>
      </c>
      <c r="D322" s="348">
        <f t="shared" si="191"/>
        <v>8</v>
      </c>
      <c r="E322" s="348">
        <f t="shared" si="191"/>
        <v>12</v>
      </c>
      <c r="F322" s="348">
        <f t="shared" si="191"/>
        <v>3</v>
      </c>
      <c r="G322" s="348">
        <f t="shared" si="191"/>
        <v>8</v>
      </c>
      <c r="H322" s="348">
        <f t="shared" ref="H322:I322" si="192">H208+H234</f>
        <v>10</v>
      </c>
      <c r="I322" s="348">
        <f t="shared" si="192"/>
        <v>12</v>
      </c>
      <c r="J322" s="348">
        <f t="shared" ref="J322:K322" si="193">J208+J234</f>
        <v>12</v>
      </c>
      <c r="K322" s="348">
        <f t="shared" si="193"/>
        <v>3</v>
      </c>
      <c r="L322" s="348">
        <f t="shared" ref="L322:M322" si="194">L208+L234</f>
        <v>3</v>
      </c>
      <c r="M322" s="348">
        <f t="shared" si="194"/>
        <v>3</v>
      </c>
      <c r="N322" s="182">
        <f t="shared" si="110"/>
        <v>89</v>
      </c>
      <c r="O322" s="22">
        <f t="shared" si="103"/>
        <v>7.416666666666667</v>
      </c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s="9" customFormat="1" ht="15.75">
      <c r="A323" s="46" t="s">
        <v>21</v>
      </c>
      <c r="B323" s="47">
        <f t="shared" ref="B323:K323" si="195">IF(SUM(B306:B322)=0,"",SUM(B306:B322))</f>
        <v>142</v>
      </c>
      <c r="C323" s="47">
        <f t="shared" ref="C323:D323" si="196">IF(SUM(C306:C322)=0,"",SUM(C306:C322))</f>
        <v>159</v>
      </c>
      <c r="D323" s="47">
        <f t="shared" si="196"/>
        <v>135</v>
      </c>
      <c r="E323" s="47">
        <f t="shared" ref="E323:F323" si="197">IF(SUM(E306:E322)=0,"",SUM(E306:E322))</f>
        <v>72</v>
      </c>
      <c r="F323" s="47">
        <f t="shared" si="197"/>
        <v>42</v>
      </c>
      <c r="G323" s="47">
        <f t="shared" si="195"/>
        <v>67</v>
      </c>
      <c r="H323" s="47">
        <f t="shared" ref="H323:I323" si="198">IF(SUM(H306:H322)=0,"",SUM(H306:H322))</f>
        <v>91</v>
      </c>
      <c r="I323" s="47">
        <f t="shared" si="198"/>
        <v>151</v>
      </c>
      <c r="J323" s="47">
        <f t="shared" si="195"/>
        <v>146</v>
      </c>
      <c r="K323" s="47">
        <f t="shared" si="195"/>
        <v>213</v>
      </c>
      <c r="L323" s="47">
        <f t="shared" ref="L323:M323" si="199">IF(SUM(L306:L322)=0,"",SUM(L306:L322))</f>
        <v>197</v>
      </c>
      <c r="M323" s="47">
        <f t="shared" si="199"/>
        <v>203</v>
      </c>
      <c r="N323" s="156">
        <f>SUM(N306:N322)</f>
        <v>1618</v>
      </c>
      <c r="O323" s="48">
        <f>SUM(O306:O322)</f>
        <v>134.83333333333334</v>
      </c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s="9" customFormat="1">
      <c r="A324" s="49"/>
      <c r="B324" s="50"/>
      <c r="C324" s="50"/>
      <c r="D324" s="50"/>
      <c r="E324" s="51"/>
      <c r="F324" s="51"/>
      <c r="G324" s="51"/>
      <c r="H324" s="51"/>
      <c r="I324" s="51"/>
      <c r="J324" s="51"/>
      <c r="K324" s="51"/>
      <c r="L324" s="51"/>
      <c r="M324" s="51"/>
      <c r="N324" s="157"/>
      <c r="O324" s="16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s="9" customFormat="1" ht="15.75">
      <c r="A325" s="183" t="s">
        <v>75</v>
      </c>
      <c r="B325" s="184"/>
      <c r="C325" s="184"/>
      <c r="D325" s="184"/>
      <c r="E325" s="184"/>
      <c r="F325" s="184"/>
      <c r="G325" s="184"/>
      <c r="H325" s="325"/>
      <c r="I325" s="325"/>
      <c r="J325" s="325"/>
      <c r="K325" s="184"/>
      <c r="L325" s="184"/>
      <c r="M325" s="184"/>
      <c r="N325" s="185"/>
      <c r="O325" s="186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s="9" customFormat="1" ht="15.75">
      <c r="A326" s="180" t="s">
        <v>18</v>
      </c>
      <c r="B326" s="39">
        <v>80</v>
      </c>
      <c r="C326" s="39">
        <v>98</v>
      </c>
      <c r="D326" s="39">
        <v>77</v>
      </c>
      <c r="E326" s="39">
        <v>16</v>
      </c>
      <c r="F326" s="39">
        <v>4</v>
      </c>
      <c r="G326" s="39">
        <v>20</v>
      </c>
      <c r="H326" s="39">
        <v>28</v>
      </c>
      <c r="I326" s="39">
        <v>94</v>
      </c>
      <c r="J326" s="39">
        <v>85</v>
      </c>
      <c r="K326" s="39">
        <v>85</v>
      </c>
      <c r="L326" s="39">
        <v>167</v>
      </c>
      <c r="M326" s="39">
        <v>174</v>
      </c>
      <c r="N326" s="182">
        <f>SUM(B326:M326)</f>
        <v>928</v>
      </c>
      <c r="O326" s="22">
        <f>IF(N326=0,0,AVERAGE(B326:M326))</f>
        <v>77.333333333333329</v>
      </c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s="9" customFormat="1" ht="15.75">
      <c r="A327" s="44" t="s">
        <v>19</v>
      </c>
      <c r="B327" s="21">
        <v>50</v>
      </c>
      <c r="C327" s="21">
        <v>49</v>
      </c>
      <c r="D327" s="21">
        <v>50</v>
      </c>
      <c r="E327" s="21">
        <v>52</v>
      </c>
      <c r="F327" s="21">
        <v>30</v>
      </c>
      <c r="G327" s="21">
        <v>38</v>
      </c>
      <c r="H327" s="21">
        <v>57</v>
      </c>
      <c r="I327" s="21">
        <v>49</v>
      </c>
      <c r="J327" s="21">
        <v>52</v>
      </c>
      <c r="K327" s="21">
        <v>122</v>
      </c>
      <c r="L327" s="21">
        <v>22</v>
      </c>
      <c r="M327" s="21">
        <v>24</v>
      </c>
      <c r="N327" s="182">
        <f>SUM(B327:M327)</f>
        <v>595</v>
      </c>
      <c r="O327" s="22">
        <f>IF(N327=0,0,AVERAGE(B327:M327))</f>
        <v>49.583333333333336</v>
      </c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s="9" customFormat="1" ht="15.75">
      <c r="A328" s="44" t="s">
        <v>20</v>
      </c>
      <c r="B328" s="21">
        <v>12</v>
      </c>
      <c r="C328" s="21">
        <v>12</v>
      </c>
      <c r="D328" s="21">
        <v>8</v>
      </c>
      <c r="E328" s="21">
        <v>4</v>
      </c>
      <c r="F328" s="21">
        <v>8</v>
      </c>
      <c r="G328" s="21">
        <v>9</v>
      </c>
      <c r="H328" s="21">
        <v>6</v>
      </c>
      <c r="I328" s="21">
        <v>8</v>
      </c>
      <c r="J328" s="21">
        <v>9</v>
      </c>
      <c r="K328" s="21">
        <v>6</v>
      </c>
      <c r="L328" s="21">
        <v>8</v>
      </c>
      <c r="M328" s="21">
        <v>5</v>
      </c>
      <c r="N328" s="182">
        <f>SUM(B328:M328)</f>
        <v>95</v>
      </c>
      <c r="O328" s="22">
        <f>IF(N328=0,0,AVERAGE(B328:M328))</f>
        <v>7.916666666666667</v>
      </c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s="9" customFormat="1" ht="15.75">
      <c r="A329" s="46" t="s">
        <v>21</v>
      </c>
      <c r="B329" s="47">
        <f t="shared" ref="B329:G329" si="200">IF(SUM(B326:B328)=0,"",SUM(B326:B328))</f>
        <v>142</v>
      </c>
      <c r="C329" s="47">
        <f t="shared" ref="C329:D329" si="201">IF(SUM(C326:C328)=0,"",SUM(C326:C328))</f>
        <v>159</v>
      </c>
      <c r="D329" s="47">
        <f t="shared" si="201"/>
        <v>135</v>
      </c>
      <c r="E329" s="47">
        <f t="shared" ref="E329:F329" si="202">IF(SUM(E326:E328)=0,"",SUM(E326:E328))</f>
        <v>72</v>
      </c>
      <c r="F329" s="47">
        <f t="shared" si="202"/>
        <v>42</v>
      </c>
      <c r="G329" s="47">
        <f t="shared" si="200"/>
        <v>67</v>
      </c>
      <c r="H329" s="47">
        <f t="shared" ref="H329:K329" si="203">IF(SUM(H326:H328)=0,"",SUM(H326:H328))</f>
        <v>91</v>
      </c>
      <c r="I329" s="47">
        <f t="shared" si="203"/>
        <v>151</v>
      </c>
      <c r="J329" s="47">
        <f t="shared" si="203"/>
        <v>146</v>
      </c>
      <c r="K329" s="47">
        <f t="shared" si="203"/>
        <v>213</v>
      </c>
      <c r="L329" s="47">
        <f t="shared" ref="L329:M329" si="204">IF(SUM(L326:L328)=0,"",SUM(L326:L328))</f>
        <v>197</v>
      </c>
      <c r="M329" s="47">
        <f t="shared" si="204"/>
        <v>203</v>
      </c>
      <c r="N329" s="156">
        <f>SUM(N326:N328)</f>
        <v>1618</v>
      </c>
      <c r="O329" s="48">
        <f>SUM(O326:O328)</f>
        <v>134.83333333333331</v>
      </c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s="9" customFormat="1" ht="15.75">
      <c r="A330" s="80" t="s">
        <v>739</v>
      </c>
      <c r="B330" s="25">
        <f t="shared" ref="B330:L330" si="205">IF(B329=0,"",B329/B1870)</f>
        <v>4.580645161290323</v>
      </c>
      <c r="C330" s="25">
        <f t="shared" si="205"/>
        <v>5.6785714285714288</v>
      </c>
      <c r="D330" s="25">
        <f t="shared" si="205"/>
        <v>4.354838709677419</v>
      </c>
      <c r="E330" s="25">
        <f t="shared" si="205"/>
        <v>2.4</v>
      </c>
      <c r="F330" s="25">
        <f t="shared" si="205"/>
        <v>1.3548387096774193</v>
      </c>
      <c r="G330" s="25">
        <f t="shared" si="205"/>
        <v>2.2333333333333334</v>
      </c>
      <c r="H330" s="25">
        <f t="shared" si="205"/>
        <v>2.935483870967742</v>
      </c>
      <c r="I330" s="25">
        <f t="shared" si="205"/>
        <v>4.870967741935484</v>
      </c>
      <c r="J330" s="25">
        <f t="shared" si="205"/>
        <v>4.8666666666666663</v>
      </c>
      <c r="K330" s="25">
        <f t="shared" si="205"/>
        <v>6.870967741935484</v>
      </c>
      <c r="L330" s="25">
        <f t="shared" si="205"/>
        <v>6.5666666666666664</v>
      </c>
      <c r="M330" s="25">
        <f t="shared" ref="M330" si="206">IF(M329=0,"",M329/M1870)</f>
        <v>6.5483870967741939</v>
      </c>
      <c r="N330" s="144">
        <f>SUM(B330:M330)</f>
        <v>53.261367127496158</v>
      </c>
      <c r="O330" s="25">
        <f>IF(N330=0,0,AVERAGE(B330:M330))</f>
        <v>4.4384472606246801</v>
      </c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s="9" customFormat="1" ht="15.75">
      <c r="A331" s="49"/>
      <c r="B331" s="50"/>
      <c r="C331" s="50"/>
      <c r="D331" s="50"/>
      <c r="E331" s="51"/>
      <c r="F331" s="51"/>
      <c r="G331" s="51"/>
      <c r="H331" s="51"/>
      <c r="I331" s="51"/>
      <c r="J331" s="51"/>
      <c r="K331" s="51"/>
      <c r="L331" s="51"/>
      <c r="M331" s="51"/>
      <c r="N331" s="157"/>
      <c r="O331" s="52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s="9" customFormat="1" ht="15.75">
      <c r="A332" s="183" t="s">
        <v>76</v>
      </c>
      <c r="B332" s="184"/>
      <c r="C332" s="184"/>
      <c r="D332" s="184"/>
      <c r="E332" s="184"/>
      <c r="F332" s="184"/>
      <c r="G332" s="184"/>
      <c r="H332" s="184"/>
      <c r="I332" s="184"/>
      <c r="J332" s="184"/>
      <c r="K332" s="184"/>
      <c r="L332" s="184"/>
      <c r="M332" s="184"/>
      <c r="N332" s="185"/>
      <c r="O332" s="186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s="9" customFormat="1" ht="15.75">
      <c r="A333" s="180" t="s">
        <v>18</v>
      </c>
      <c r="B333" s="181">
        <f t="shared" ref="B333:M333" si="207">IF(B15="","",(B40)/(B15))</f>
        <v>0.50322580645161286</v>
      </c>
      <c r="C333" s="181">
        <f t="shared" si="207"/>
        <v>0.54642857142857137</v>
      </c>
      <c r="D333" s="181">
        <f t="shared" si="207"/>
        <v>0.41129032258064518</v>
      </c>
      <c r="E333" s="181">
        <f t="shared" si="207"/>
        <v>0.185</v>
      </c>
      <c r="F333" s="181">
        <f t="shared" si="207"/>
        <v>0.25645161290322582</v>
      </c>
      <c r="G333" s="181">
        <f t="shared" si="207"/>
        <v>0.55500000000000005</v>
      </c>
      <c r="H333" s="181">
        <f t="shared" si="207"/>
        <v>0.57903225806451608</v>
      </c>
      <c r="I333" s="181">
        <f t="shared" si="207"/>
        <v>0.717741935483871</v>
      </c>
      <c r="J333" s="181">
        <f t="shared" si="207"/>
        <v>0.60499999999999998</v>
      </c>
      <c r="K333" s="181">
        <f t="shared" si="207"/>
        <v>0.58064516129032262</v>
      </c>
      <c r="L333" s="181">
        <f t="shared" si="207"/>
        <v>0.60583333333333333</v>
      </c>
      <c r="M333" s="181">
        <f t="shared" si="207"/>
        <v>0.6411290322580645</v>
      </c>
      <c r="N333" s="218">
        <f>SUM(B333:M333)</f>
        <v>6.1867780337941642</v>
      </c>
      <c r="O333" s="218">
        <f>IF(N333=0,0,AVERAGE(B333:M333))</f>
        <v>0.51556483614951365</v>
      </c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s="9" customFormat="1" ht="15.75">
      <c r="A334" s="44" t="s">
        <v>19</v>
      </c>
      <c r="B334" s="178">
        <f t="shared" ref="B334:M334" si="208">IF(B16="","",(B41)/(B16))</f>
        <v>0.82016129032258067</v>
      </c>
      <c r="C334" s="178">
        <f t="shared" si="208"/>
        <v>0.80089285714285718</v>
      </c>
      <c r="D334" s="178">
        <f t="shared" si="208"/>
        <v>0.76129032258064511</v>
      </c>
      <c r="E334" s="178">
        <f t="shared" si="208"/>
        <v>0.63500000000000001</v>
      </c>
      <c r="F334" s="178">
        <f t="shared" si="208"/>
        <v>0.50564516129032255</v>
      </c>
      <c r="G334" s="178">
        <f t="shared" si="208"/>
        <v>0.5625</v>
      </c>
      <c r="H334" s="178">
        <f t="shared" si="208"/>
        <v>0.70483870967741935</v>
      </c>
      <c r="I334" s="178">
        <f t="shared" si="208"/>
        <v>0.77741935483870972</v>
      </c>
      <c r="J334" s="178">
        <f t="shared" si="208"/>
        <v>0.76833333333333331</v>
      </c>
      <c r="K334" s="178">
        <f t="shared" si="208"/>
        <v>0.625</v>
      </c>
      <c r="L334" s="178">
        <f t="shared" si="208"/>
        <v>0.67500000000000004</v>
      </c>
      <c r="M334" s="178">
        <f t="shared" si="208"/>
        <v>0.67741935483870963</v>
      </c>
      <c r="N334" s="218">
        <f>SUM(B334:M334)</f>
        <v>8.3135003840245769</v>
      </c>
      <c r="O334" s="218">
        <f>IF(N334=0,0,AVERAGE(B334:M334))</f>
        <v>0.69279169866871471</v>
      </c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s="9" customFormat="1" ht="15.75">
      <c r="A335" s="44" t="s">
        <v>20</v>
      </c>
      <c r="B335" s="178">
        <f t="shared" ref="B335:M335" si="209">IF(B17="","",(B42)/(B17))</f>
        <v>0.63548387096774195</v>
      </c>
      <c r="C335" s="178">
        <f t="shared" si="209"/>
        <v>0.61071428571428577</v>
      </c>
      <c r="D335" s="178">
        <f t="shared" si="209"/>
        <v>0.58064516129032262</v>
      </c>
      <c r="E335" s="178">
        <f t="shared" si="209"/>
        <v>0.42666666666666669</v>
      </c>
      <c r="F335" s="178">
        <f t="shared" si="209"/>
        <v>0.4258064516129032</v>
      </c>
      <c r="G335" s="178">
        <f t="shared" si="209"/>
        <v>0.46333333333333332</v>
      </c>
      <c r="H335" s="178">
        <f t="shared" si="209"/>
        <v>0.48064516129032259</v>
      </c>
      <c r="I335" s="178">
        <f t="shared" si="209"/>
        <v>0.61612903225806448</v>
      </c>
      <c r="J335" s="178">
        <f t="shared" si="209"/>
        <v>0.79666666666666663</v>
      </c>
      <c r="K335" s="178">
        <f t="shared" si="209"/>
        <v>0.48709677419354841</v>
      </c>
      <c r="L335" s="178">
        <f t="shared" si="209"/>
        <v>0.39666666666666667</v>
      </c>
      <c r="M335" s="178">
        <f t="shared" si="209"/>
        <v>0.50645161290322582</v>
      </c>
      <c r="N335" s="218">
        <f>SUM(B335:M335)</f>
        <v>6.4263056835637489</v>
      </c>
      <c r="O335" s="218">
        <f>IF(N335=0,0,AVERAGE(B335:M335))</f>
        <v>0.53552547363031244</v>
      </c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s="9" customFormat="1" ht="15.75">
      <c r="A336" s="46" t="s">
        <v>77</v>
      </c>
      <c r="B336" s="179">
        <f t="shared" ref="B336:M336" si="210">IF(B18="","",(B43)/(B18))</f>
        <v>0.70322580645161292</v>
      </c>
      <c r="C336" s="179">
        <f t="shared" si="210"/>
        <v>0.70102040816326527</v>
      </c>
      <c r="D336" s="179">
        <f t="shared" si="210"/>
        <v>0.63548387096774195</v>
      </c>
      <c r="E336" s="179">
        <f t="shared" si="210"/>
        <v>0.47666666666666668</v>
      </c>
      <c r="F336" s="179">
        <f t="shared" si="210"/>
        <v>0.42304147465437786</v>
      </c>
      <c r="G336" s="179">
        <f t="shared" si="210"/>
        <v>0.54619047619047623</v>
      </c>
      <c r="H336" s="179">
        <f t="shared" si="210"/>
        <v>0.63686635944700465</v>
      </c>
      <c r="I336" s="179">
        <f t="shared" si="210"/>
        <v>0.73732718894009219</v>
      </c>
      <c r="J336" s="179">
        <f t="shared" si="210"/>
        <v>0.72571428571428576</v>
      </c>
      <c r="K336" s="179">
        <f t="shared" si="210"/>
        <v>0.59262672811059913</v>
      </c>
      <c r="L336" s="179">
        <f t="shared" si="210"/>
        <v>0.59571428571428575</v>
      </c>
      <c r="M336" s="179">
        <f t="shared" si="210"/>
        <v>0.63225806451612898</v>
      </c>
      <c r="N336" s="179">
        <f>SUM(N333:N335)</f>
        <v>20.926584101382488</v>
      </c>
      <c r="O336" s="179">
        <f>IF(N336=0,0,AVERAGE(B336:M336))</f>
        <v>0.61717796796137814</v>
      </c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s="9" customFormat="1">
      <c r="A337" s="49"/>
      <c r="B337" s="50"/>
      <c r="C337" s="50"/>
      <c r="D337" s="50"/>
      <c r="E337" s="50"/>
      <c r="F337" s="51"/>
      <c r="G337" s="51"/>
      <c r="H337" s="51"/>
      <c r="I337" s="51"/>
      <c r="J337" s="51"/>
      <c r="K337" s="51"/>
      <c r="L337" s="51"/>
      <c r="M337" s="51"/>
      <c r="N337" s="157"/>
      <c r="O337" s="283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s="9" customFormat="1" ht="15.75">
      <c r="A338" s="46" t="s">
        <v>77</v>
      </c>
      <c r="B338" s="179">
        <f t="shared" ref="B338:M338" si="211">IF(B18="","",B43/B18)</f>
        <v>0.70322580645161292</v>
      </c>
      <c r="C338" s="179">
        <f t="shared" si="211"/>
        <v>0.70102040816326527</v>
      </c>
      <c r="D338" s="179">
        <f t="shared" si="211"/>
        <v>0.63548387096774195</v>
      </c>
      <c r="E338" s="179">
        <f t="shared" si="211"/>
        <v>0.47666666666666668</v>
      </c>
      <c r="F338" s="179">
        <f t="shared" si="211"/>
        <v>0.42304147465437786</v>
      </c>
      <c r="G338" s="179">
        <f t="shared" si="211"/>
        <v>0.54619047619047623</v>
      </c>
      <c r="H338" s="179">
        <f t="shared" si="211"/>
        <v>0.63686635944700465</v>
      </c>
      <c r="I338" s="179">
        <f t="shared" si="211"/>
        <v>0.73732718894009219</v>
      </c>
      <c r="J338" s="179">
        <f t="shared" si="211"/>
        <v>0.72571428571428576</v>
      </c>
      <c r="K338" s="179">
        <f t="shared" si="211"/>
        <v>0.59262672811059913</v>
      </c>
      <c r="L338" s="179">
        <f t="shared" si="211"/>
        <v>0.59571428571428575</v>
      </c>
      <c r="M338" s="179">
        <f t="shared" si="211"/>
        <v>0.63225806451612898</v>
      </c>
      <c r="N338" s="179">
        <f>SUM(N333:N335)</f>
        <v>20.926584101382488</v>
      </c>
      <c r="O338" s="179">
        <f>IF(N338=0,0,AVERAGE(B338:M338))</f>
        <v>0.61717796796137814</v>
      </c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s="9" customFormat="1">
      <c r="A339" s="56"/>
      <c r="B339" s="54"/>
      <c r="C339" s="54"/>
      <c r="D339" s="54"/>
      <c r="E339" s="55"/>
      <c r="F339" s="55"/>
      <c r="G339" s="55"/>
      <c r="H339" s="55"/>
      <c r="I339" s="55"/>
      <c r="J339" s="55"/>
      <c r="K339" s="55"/>
      <c r="L339" s="55"/>
      <c r="M339" s="55"/>
      <c r="N339" s="158"/>
      <c r="O339" s="16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s="9" customFormat="1" ht="15.75">
      <c r="A340" s="17" t="s">
        <v>78</v>
      </c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49"/>
      <c r="O340" s="19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s="9" customFormat="1" ht="15.75">
      <c r="A341" s="40" t="s">
        <v>18</v>
      </c>
      <c r="B341" s="145">
        <f t="shared" ref="B341:L341" si="212">IF(B40=0,"",B40/SUM(B326+B294))</f>
        <v>3.3913043478260869</v>
      </c>
      <c r="C341" s="145">
        <f t="shared" si="212"/>
        <v>2.8073394495412844</v>
      </c>
      <c r="D341" s="145">
        <f t="shared" si="212"/>
        <v>3.0357142857142856</v>
      </c>
      <c r="E341" s="145">
        <f t="shared" si="212"/>
        <v>4.2692307692307692</v>
      </c>
      <c r="F341" s="145">
        <f t="shared" si="212"/>
        <v>6.36</v>
      </c>
      <c r="G341" s="145">
        <f t="shared" si="212"/>
        <v>10.40625</v>
      </c>
      <c r="H341" s="145">
        <f t="shared" si="212"/>
        <v>7.8043478260869561</v>
      </c>
      <c r="I341" s="145">
        <f t="shared" si="212"/>
        <v>3.9380530973451329</v>
      </c>
      <c r="J341" s="145">
        <f t="shared" si="212"/>
        <v>3.78125</v>
      </c>
      <c r="K341" s="145">
        <f t="shared" si="212"/>
        <v>3.870967741935484</v>
      </c>
      <c r="L341" s="145">
        <f t="shared" si="212"/>
        <v>4.1306818181818183</v>
      </c>
      <c r="M341" s="145">
        <f t="shared" ref="M341" si="213">IF(M40=0,"",M40/SUM(M326+M294))</f>
        <v>4.274193548387097</v>
      </c>
      <c r="N341" s="150">
        <f>SUM(B341:M341)</f>
        <v>58.069332884248908</v>
      </c>
      <c r="O341" s="22">
        <f>IF(N341=0,0,AVERAGE(B341:M341))</f>
        <v>4.839111073687409</v>
      </c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s="9" customFormat="1" ht="15.75">
      <c r="A342" s="40" t="s">
        <v>19</v>
      </c>
      <c r="B342" s="145">
        <f t="shared" ref="B342:L342" si="214">IF(B41=0,"",B41/SUM(B327+B295))</f>
        <v>16.142857142857142</v>
      </c>
      <c r="C342" s="145">
        <f t="shared" si="214"/>
        <v>14.015625</v>
      </c>
      <c r="D342" s="145">
        <f t="shared" si="214"/>
        <v>14.75</v>
      </c>
      <c r="E342" s="145">
        <f t="shared" si="214"/>
        <v>11.545454545454545</v>
      </c>
      <c r="F342" s="145">
        <f t="shared" si="214"/>
        <v>14.928571428571429</v>
      </c>
      <c r="G342" s="145">
        <f t="shared" si="214"/>
        <v>11.25</v>
      </c>
      <c r="H342" s="145">
        <f t="shared" si="214"/>
        <v>13.242424242424242</v>
      </c>
      <c r="I342" s="145">
        <f t="shared" si="214"/>
        <v>16.620689655172413</v>
      </c>
      <c r="J342" s="145">
        <f t="shared" si="214"/>
        <v>12.805555555555555</v>
      </c>
      <c r="K342" s="145">
        <f t="shared" si="214"/>
        <v>5.8712121212121211</v>
      </c>
      <c r="L342" s="145">
        <f t="shared" si="214"/>
        <v>9.6428571428571423</v>
      </c>
      <c r="M342" s="145">
        <f t="shared" ref="M342" si="215">IF(M41=0,"",M41/SUM(M327+M295))</f>
        <v>15</v>
      </c>
      <c r="N342" s="150">
        <f>SUM(B342:M342)</f>
        <v>155.81524683410458</v>
      </c>
      <c r="O342" s="22">
        <f>IF(N342=0,0,AVERAGE(B342:M342))</f>
        <v>12.984603902842048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s="9" customFormat="1" ht="15.75">
      <c r="A343" s="40" t="s">
        <v>20</v>
      </c>
      <c r="B343" s="145">
        <f t="shared" ref="B343:L343" si="216">IF(B42=0,"",B42/SUM(B328+B296))</f>
        <v>5.7941176470588234</v>
      </c>
      <c r="C343" s="145">
        <f t="shared" si="216"/>
        <v>4.8857142857142861</v>
      </c>
      <c r="D343" s="145">
        <f t="shared" si="216"/>
        <v>6.9230769230769234</v>
      </c>
      <c r="E343" s="145">
        <f t="shared" si="216"/>
        <v>7.5294117647058822</v>
      </c>
      <c r="F343" s="145">
        <f t="shared" si="216"/>
        <v>7.7647058823529411</v>
      </c>
      <c r="G343" s="145">
        <f t="shared" si="216"/>
        <v>5.3461538461538458</v>
      </c>
      <c r="H343" s="145">
        <f t="shared" si="216"/>
        <v>5.1379310344827589</v>
      </c>
      <c r="I343" s="145">
        <f t="shared" si="216"/>
        <v>5.3055555555555554</v>
      </c>
      <c r="J343" s="145">
        <f t="shared" si="216"/>
        <v>9.1923076923076916</v>
      </c>
      <c r="K343" s="145">
        <f t="shared" si="216"/>
        <v>7.9473684210526319</v>
      </c>
      <c r="L343" s="145">
        <f t="shared" si="216"/>
        <v>6.6111111111111107</v>
      </c>
      <c r="M343" s="145">
        <f t="shared" ref="M343" si="217">IF(M42=0,"",M42/SUM(M328+M296))</f>
        <v>6.8260869565217392</v>
      </c>
      <c r="N343" s="150">
        <f>SUM(B343:M343)</f>
        <v>79.263541120094203</v>
      </c>
      <c r="O343" s="22">
        <f>IF(N343=0,0,AVERAGE(B343:M343))</f>
        <v>6.6052950933411836</v>
      </c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s="9" customFormat="1" ht="15.75">
      <c r="A344" s="23" t="s">
        <v>0</v>
      </c>
      <c r="B344" s="25">
        <f t="shared" ref="B344:L344" si="218">IF(B43=0,"",B43/SUM(B329+B297))</f>
        <v>8.0740740740740744</v>
      </c>
      <c r="C344" s="25">
        <f t="shared" si="218"/>
        <v>6.6057692307692308</v>
      </c>
      <c r="D344" s="25">
        <f t="shared" si="218"/>
        <v>7.9252873563218387</v>
      </c>
      <c r="E344" s="25">
        <f t="shared" si="218"/>
        <v>9.1834862385321099</v>
      </c>
      <c r="F344" s="25">
        <f t="shared" si="218"/>
        <v>10.928571428571429</v>
      </c>
      <c r="G344" s="25">
        <f t="shared" si="218"/>
        <v>9.7203389830508478</v>
      </c>
      <c r="H344" s="25">
        <f t="shared" si="218"/>
        <v>9.8014184397163113</v>
      </c>
      <c r="I344" s="25">
        <f t="shared" si="218"/>
        <v>7.7294685990338161</v>
      </c>
      <c r="J344" s="25">
        <f t="shared" si="218"/>
        <v>7.8556701030927831</v>
      </c>
      <c r="K344" s="25">
        <f t="shared" si="218"/>
        <v>5.2704918032786887</v>
      </c>
      <c r="L344" s="25">
        <f t="shared" si="218"/>
        <v>5.3008474576271185</v>
      </c>
      <c r="M344" s="25">
        <f t="shared" ref="M344" si="219">IF(M43=0,"",M43/SUM(M329+M297))</f>
        <v>5.7890295358649793</v>
      </c>
      <c r="N344" s="144">
        <f>SUM(B344:M344)</f>
        <v>94.184453249933227</v>
      </c>
      <c r="O344" s="25">
        <f>IF(N344=0,0,AVERAGE(B344:M344))</f>
        <v>7.8487044374944359</v>
      </c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s="9" customFormat="1">
      <c r="A345" s="26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151"/>
      <c r="O345" s="16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s="9" customFormat="1" ht="15.75">
      <c r="A346" s="23" t="s">
        <v>0</v>
      </c>
      <c r="B346" s="191">
        <f t="shared" ref="B346:C346" si="220">B344</f>
        <v>8.0740740740740744</v>
      </c>
      <c r="C346" s="191">
        <f t="shared" si="220"/>
        <v>6.6057692307692308</v>
      </c>
      <c r="D346" s="191">
        <f t="shared" ref="D346:E346" si="221">D344</f>
        <v>7.9252873563218387</v>
      </c>
      <c r="E346" s="191">
        <f t="shared" si="221"/>
        <v>9.1834862385321099</v>
      </c>
      <c r="F346" s="191">
        <f t="shared" ref="F346:G346" si="222">F344</f>
        <v>10.928571428571429</v>
      </c>
      <c r="G346" s="191">
        <f t="shared" si="222"/>
        <v>9.7203389830508478</v>
      </c>
      <c r="H346" s="191">
        <f t="shared" ref="H346:K346" si="223">H344</f>
        <v>9.8014184397163113</v>
      </c>
      <c r="I346" s="191">
        <f t="shared" si="223"/>
        <v>7.7294685990338161</v>
      </c>
      <c r="J346" s="191">
        <f t="shared" si="223"/>
        <v>7.8556701030927831</v>
      </c>
      <c r="K346" s="191">
        <f t="shared" si="223"/>
        <v>5.2704918032786887</v>
      </c>
      <c r="L346" s="191">
        <f t="shared" ref="L346:M346" si="224">L344</f>
        <v>5.3008474576271185</v>
      </c>
      <c r="M346" s="191">
        <f t="shared" si="224"/>
        <v>5.7890295358649793</v>
      </c>
      <c r="N346" s="144">
        <f>SUM(B346:M346)</f>
        <v>94.184453249933227</v>
      </c>
      <c r="O346" s="25">
        <f>IF(N346=0,0,AVERAGE(B346:M346))</f>
        <v>7.8487044374944359</v>
      </c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s="9" customFormat="1">
      <c r="A347" s="26"/>
      <c r="B347" s="27"/>
      <c r="C347" s="27"/>
      <c r="D347" s="27"/>
      <c r="E347" s="28"/>
      <c r="F347" s="28"/>
      <c r="G347" s="28"/>
      <c r="H347" s="28"/>
      <c r="I347" s="28"/>
      <c r="J347" s="28"/>
      <c r="K347" s="28"/>
      <c r="L347" s="28"/>
      <c r="M347" s="28"/>
      <c r="N347" s="151"/>
      <c r="O347" s="16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s="9" customFormat="1" ht="15.75">
      <c r="A348" s="17" t="s">
        <v>79</v>
      </c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49"/>
      <c r="O348" s="19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s="9" customFormat="1" ht="15.75">
      <c r="A349" s="40" t="s">
        <v>18</v>
      </c>
      <c r="B349" s="145">
        <f t="shared" ref="B349:L349" si="225">IF(B9=0,"",(B326+B300)/B9)</f>
        <v>4</v>
      </c>
      <c r="C349" s="145">
        <f t="shared" si="225"/>
        <v>4.9000000000000004</v>
      </c>
      <c r="D349" s="145">
        <f t="shared" si="225"/>
        <v>3.85</v>
      </c>
      <c r="E349" s="145">
        <f t="shared" si="225"/>
        <v>0.8</v>
      </c>
      <c r="F349" s="145">
        <f t="shared" si="225"/>
        <v>0.2</v>
      </c>
      <c r="G349" s="145">
        <f t="shared" si="225"/>
        <v>1</v>
      </c>
      <c r="H349" s="145">
        <f t="shared" si="225"/>
        <v>1.4</v>
      </c>
      <c r="I349" s="145">
        <f t="shared" si="225"/>
        <v>4.75</v>
      </c>
      <c r="J349" s="145">
        <f t="shared" si="225"/>
        <v>4.25</v>
      </c>
      <c r="K349" s="145">
        <f t="shared" si="225"/>
        <v>4.3</v>
      </c>
      <c r="L349" s="145">
        <f t="shared" si="225"/>
        <v>4.2</v>
      </c>
      <c r="M349" s="145">
        <f t="shared" ref="M349" si="226">IF(M9=0,"",(M326+M300)/M9)</f>
        <v>4.3499999999999996</v>
      </c>
      <c r="N349" s="150">
        <f>SUM(B349:M349)</f>
        <v>38</v>
      </c>
      <c r="O349" s="22">
        <f>IF(N349=0,0,AVERAGE(B349:M349))</f>
        <v>3.1666666666666665</v>
      </c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s="9" customFormat="1" ht="15.75">
      <c r="A350" s="40" t="s">
        <v>19</v>
      </c>
      <c r="B350" s="145">
        <f t="shared" ref="B350:L350" si="227">IF(B10=0,"",(B327+B301)/B10)</f>
        <v>1.35</v>
      </c>
      <c r="C350" s="145">
        <f t="shared" si="227"/>
        <v>1.3</v>
      </c>
      <c r="D350" s="145">
        <f t="shared" si="227"/>
        <v>1.3</v>
      </c>
      <c r="E350" s="145">
        <f t="shared" si="227"/>
        <v>1.3</v>
      </c>
      <c r="F350" s="145">
        <f t="shared" si="227"/>
        <v>0.8</v>
      </c>
      <c r="G350" s="145">
        <f t="shared" si="227"/>
        <v>0.95</v>
      </c>
      <c r="H350" s="145">
        <f t="shared" si="227"/>
        <v>1.5</v>
      </c>
      <c r="I350" s="145">
        <f t="shared" si="227"/>
        <v>1.25</v>
      </c>
      <c r="J350" s="145">
        <f t="shared" si="227"/>
        <v>1.4</v>
      </c>
      <c r="K350" s="145">
        <f t="shared" si="227"/>
        <v>3.15</v>
      </c>
      <c r="L350" s="145">
        <f t="shared" si="227"/>
        <v>1.1000000000000001</v>
      </c>
      <c r="M350" s="145">
        <f t="shared" ref="M350" si="228">IF(M10=0,"",(M327+M301)/M10)</f>
        <v>1.25</v>
      </c>
      <c r="N350" s="150">
        <f>SUM(B350:M350)</f>
        <v>16.649999999999999</v>
      </c>
      <c r="O350" s="22">
        <f>IF(N350=0,0,AVERAGE(B350:M350))</f>
        <v>1.3875</v>
      </c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s="9" customFormat="1" ht="15.75">
      <c r="A351" s="40" t="s">
        <v>20</v>
      </c>
      <c r="B351" s="145">
        <f t="shared" ref="B351:L351" si="229">IF(B11=0,"",(B328+B302)/B11)</f>
        <v>1.3</v>
      </c>
      <c r="C351" s="145">
        <f t="shared" si="229"/>
        <v>1.2</v>
      </c>
      <c r="D351" s="145">
        <f t="shared" si="229"/>
        <v>0.8</v>
      </c>
      <c r="E351" s="145">
        <f t="shared" si="229"/>
        <v>0.5</v>
      </c>
      <c r="F351" s="145">
        <f t="shared" si="229"/>
        <v>0.8</v>
      </c>
      <c r="G351" s="145">
        <f t="shared" si="229"/>
        <v>0.9</v>
      </c>
      <c r="H351" s="145">
        <f t="shared" si="229"/>
        <v>0.6</v>
      </c>
      <c r="I351" s="145">
        <f t="shared" si="229"/>
        <v>0.8</v>
      </c>
      <c r="J351" s="145">
        <f t="shared" si="229"/>
        <v>0.9</v>
      </c>
      <c r="K351" s="145">
        <f t="shared" si="229"/>
        <v>0.6</v>
      </c>
      <c r="L351" s="145">
        <f t="shared" si="229"/>
        <v>0.8</v>
      </c>
      <c r="M351" s="145">
        <f t="shared" ref="M351" si="230">IF(M11=0,"",(M328+M302)/M11)</f>
        <v>0.5</v>
      </c>
      <c r="N351" s="150">
        <f>SUM(B351:M351)</f>
        <v>9.7000000000000011</v>
      </c>
      <c r="O351" s="22">
        <f>IF(N351=0,0,AVERAGE(B351:M351))</f>
        <v>0.80833333333333346</v>
      </c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s="9" customFormat="1" ht="15.75">
      <c r="A352" s="23" t="s">
        <v>80</v>
      </c>
      <c r="B352" s="25">
        <f t="shared" ref="B352:L352" si="231">IF(B12="","",(B329/B12))</f>
        <v>2.0285714285714285</v>
      </c>
      <c r="C352" s="25">
        <f t="shared" si="231"/>
        <v>2.2714285714285714</v>
      </c>
      <c r="D352" s="25">
        <f t="shared" si="231"/>
        <v>1.9285714285714286</v>
      </c>
      <c r="E352" s="25">
        <f t="shared" si="231"/>
        <v>1.0285714285714285</v>
      </c>
      <c r="F352" s="25">
        <f t="shared" si="231"/>
        <v>0.6</v>
      </c>
      <c r="G352" s="25">
        <f t="shared" si="231"/>
        <v>0.95714285714285718</v>
      </c>
      <c r="H352" s="25">
        <f t="shared" si="231"/>
        <v>1.3</v>
      </c>
      <c r="I352" s="25">
        <f t="shared" si="231"/>
        <v>2.157142857142857</v>
      </c>
      <c r="J352" s="25">
        <f t="shared" si="231"/>
        <v>2.0857142857142859</v>
      </c>
      <c r="K352" s="25">
        <f t="shared" si="231"/>
        <v>3.0428571428571427</v>
      </c>
      <c r="L352" s="25">
        <f t="shared" si="231"/>
        <v>2.8142857142857145</v>
      </c>
      <c r="M352" s="25">
        <f t="shared" ref="M352" si="232">IF(M12="","",(M329/M12))</f>
        <v>2.9</v>
      </c>
      <c r="N352" s="144">
        <f>SUM(N349:N351)</f>
        <v>64.349999999999994</v>
      </c>
      <c r="O352" s="25">
        <f>IF(N352=0,0,AVERAGE(B352:M352))</f>
        <v>1.9261904761904758</v>
      </c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s="9" customFormat="1" ht="15.75">
      <c r="A353" s="26"/>
      <c r="B353" s="27"/>
      <c r="C353" s="27"/>
      <c r="D353" s="27"/>
      <c r="E353" s="27"/>
      <c r="F353" s="28"/>
      <c r="G353" s="28"/>
      <c r="H353" s="28"/>
      <c r="I353" s="28"/>
      <c r="J353" s="28"/>
      <c r="K353" s="28"/>
      <c r="L353" s="28"/>
      <c r="M353" s="28"/>
      <c r="N353" s="151"/>
      <c r="O353" s="57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s="9" customFormat="1" ht="15.75">
      <c r="A354" s="17" t="s">
        <v>81</v>
      </c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49"/>
      <c r="O354" s="19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s="9" customFormat="1" ht="15.75">
      <c r="A355" s="40" t="s">
        <v>18</v>
      </c>
      <c r="B355" s="192">
        <f t="shared" ref="B355:C357" si="233">IF(B326=0,0,(B238/SUM(B326,B300+B294)))</f>
        <v>0</v>
      </c>
      <c r="C355" s="192">
        <f t="shared" si="233"/>
        <v>0</v>
      </c>
      <c r="D355" s="192">
        <f t="shared" ref="D355:E355" si="234">IF(D326=0,0,(D238/SUM(D326,D300+D294)))</f>
        <v>0</v>
      </c>
      <c r="E355" s="192">
        <f t="shared" si="234"/>
        <v>0</v>
      </c>
      <c r="F355" s="192">
        <f t="shared" ref="F355:G355" si="235">IF(F326=0,0,(F238/SUM(F326,F300+F294)))</f>
        <v>0.04</v>
      </c>
      <c r="G355" s="192">
        <f t="shared" si="235"/>
        <v>0</v>
      </c>
      <c r="H355" s="192">
        <f t="shared" ref="H355:I355" si="236">IF(H326=0,0,(H238/SUM(H326,H300+H294)))</f>
        <v>0</v>
      </c>
      <c r="I355" s="192">
        <f t="shared" si="236"/>
        <v>0</v>
      </c>
      <c r="J355" s="192">
        <f t="shared" ref="J355:K355" si="237">IF(J326=0,0,(J238/SUM(J326,J300+J294)))</f>
        <v>0</v>
      </c>
      <c r="K355" s="192">
        <f t="shared" si="237"/>
        <v>0</v>
      </c>
      <c r="L355" s="192">
        <f t="shared" ref="L355:M355" si="238">IF(L326=0,0,(L238/SUM(L326,L300+L294)))</f>
        <v>0</v>
      </c>
      <c r="M355" s="192">
        <f t="shared" si="238"/>
        <v>0</v>
      </c>
      <c r="N355" s="219">
        <f>SUM(B355:M355)</f>
        <v>0.04</v>
      </c>
      <c r="O355" s="219">
        <f>IF(O326=0,0,(O238/SUM(O326,O300)))</f>
        <v>1.0741138560687433E-3</v>
      </c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s="9" customFormat="1" ht="15.75">
      <c r="A356" s="40" t="s">
        <v>19</v>
      </c>
      <c r="B356" s="192">
        <f t="shared" si="233"/>
        <v>1.4925373134328358E-2</v>
      </c>
      <c r="C356" s="192">
        <f t="shared" si="233"/>
        <v>5.9701492537313432E-2</v>
      </c>
      <c r="D356" s="192">
        <f t="shared" ref="D356" si="239">IF(D327=0,0,(D239/SUM(D327,D301+D295)))</f>
        <v>3.0303030303030304E-2</v>
      </c>
      <c r="E356" s="192">
        <f t="shared" ref="E356:G357" si="240">IF(E327=0,0,(E239/SUM(E327,E301+E295)))</f>
        <v>0.16666666666666666</v>
      </c>
      <c r="F356" s="192">
        <f t="shared" si="240"/>
        <v>6.8181818181818177E-2</v>
      </c>
      <c r="G356" s="192">
        <f t="shared" si="240"/>
        <v>0.05</v>
      </c>
      <c r="H356" s="192">
        <f t="shared" ref="H356:I356" si="241">IF(H327=0,0,(H239/SUM(H327,H301+H295)))</f>
        <v>4.3478260869565216E-2</v>
      </c>
      <c r="I356" s="192">
        <f t="shared" si="241"/>
        <v>8.4745762711864403E-2</v>
      </c>
      <c r="J356" s="192">
        <f t="shared" ref="J356:K356" si="242">IF(J327=0,0,(J239/SUM(J327,J301+J295)))</f>
        <v>0</v>
      </c>
      <c r="K356" s="192">
        <f t="shared" si="242"/>
        <v>5.1470588235294115E-2</v>
      </c>
      <c r="L356" s="192">
        <f t="shared" ref="L356:M356" si="243">IF(L327=0,0,(L239/SUM(L327,L301+L295)))</f>
        <v>2.3809523809523808E-2</v>
      </c>
      <c r="M356" s="192">
        <f t="shared" si="243"/>
        <v>0.13793103448275862</v>
      </c>
      <c r="N356" s="219">
        <f>SUM(B356:M356)</f>
        <v>0.73121355093216311</v>
      </c>
      <c r="O356" s="219">
        <f>IF(O327=0,0,(O239/SUM(O327,O301)))</f>
        <v>7.1082390953150235E-2</v>
      </c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s="9" customFormat="1" ht="15.75">
      <c r="A357" s="40" t="s">
        <v>20</v>
      </c>
      <c r="B357" s="192">
        <f t="shared" si="233"/>
        <v>0.31428571428571428</v>
      </c>
      <c r="C357" s="192">
        <f t="shared" si="233"/>
        <v>0.34285714285714286</v>
      </c>
      <c r="D357" s="192">
        <f t="shared" ref="D357" si="244">IF(D328=0,0,(D240/SUM(D328,D302+D296)))</f>
        <v>0.30769230769230771</v>
      </c>
      <c r="E357" s="192">
        <f t="shared" si="240"/>
        <v>0.16666666666666666</v>
      </c>
      <c r="F357" s="192">
        <f t="shared" si="240"/>
        <v>0.47058823529411764</v>
      </c>
      <c r="G357" s="192">
        <f t="shared" si="240"/>
        <v>0.34615384615384615</v>
      </c>
      <c r="H357" s="192">
        <f t="shared" ref="H357:I357" si="245">IF(H328=0,0,(H240/SUM(H328,H302+H296)))</f>
        <v>0.20689655172413793</v>
      </c>
      <c r="I357" s="192">
        <f t="shared" si="245"/>
        <v>0.22222222222222221</v>
      </c>
      <c r="J357" s="192">
        <f t="shared" ref="J357:K357" si="246">IF(J328=0,0,(J240/SUM(J328,J302+J296)))</f>
        <v>0.34615384615384615</v>
      </c>
      <c r="K357" s="192">
        <f t="shared" si="246"/>
        <v>0.31578947368421051</v>
      </c>
      <c r="L357" s="192">
        <f t="shared" ref="L357:M357" si="247">IF(L328=0,0,(L240/SUM(L328,L302+L296)))</f>
        <v>0.44444444444444442</v>
      </c>
      <c r="M357" s="192">
        <f t="shared" si="247"/>
        <v>0.21739130434782608</v>
      </c>
      <c r="N357" s="219">
        <f>SUM(B357:M357)</f>
        <v>3.7011417555264829</v>
      </c>
      <c r="O357" s="219">
        <f>IF(O328=0,0,(O240/SUM(O328,O302)))</f>
        <v>0.95876288659793807</v>
      </c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s="9" customFormat="1" ht="15.75">
      <c r="A358" s="267" t="s">
        <v>82</v>
      </c>
      <c r="B358" s="266">
        <f t="shared" ref="B358:G358" si="248">IF(B329="","",(B241/B329))</f>
        <v>8.4507042253521125E-2</v>
      </c>
      <c r="C358" s="266">
        <f t="shared" si="248"/>
        <v>0.10062893081761007</v>
      </c>
      <c r="D358" s="266">
        <f t="shared" si="248"/>
        <v>7.407407407407407E-2</v>
      </c>
      <c r="E358" s="266">
        <f t="shared" si="248"/>
        <v>0.19444444444444445</v>
      </c>
      <c r="F358" s="266">
        <f t="shared" si="248"/>
        <v>0.2857142857142857</v>
      </c>
      <c r="G358" s="266">
        <f t="shared" si="248"/>
        <v>0.17910447761194029</v>
      </c>
      <c r="H358" s="266">
        <f t="shared" ref="H358:K358" si="249">IF(H329="","",(H241/H329))</f>
        <v>9.8901098901098897E-2</v>
      </c>
      <c r="I358" s="266">
        <f t="shared" si="249"/>
        <v>8.6092715231788075E-2</v>
      </c>
      <c r="J358" s="266">
        <f t="shared" si="249"/>
        <v>6.1643835616438353E-2</v>
      </c>
      <c r="K358" s="266">
        <f t="shared" si="249"/>
        <v>6.1032863849765258E-2</v>
      </c>
      <c r="L358" s="266">
        <f t="shared" ref="L358:M358" si="250">IF(L329="","",(L241/L329))</f>
        <v>4.5685279187817257E-2</v>
      </c>
      <c r="M358" s="266">
        <f t="shared" si="250"/>
        <v>4.4334975369458129E-2</v>
      </c>
      <c r="N358" s="266">
        <f>SUM(N355:N357)</f>
        <v>4.4723553064586463</v>
      </c>
      <c r="O358" s="266">
        <f>IF(N358=0,0,AVERAGE(B358:M358))</f>
        <v>0.10968033525602015</v>
      </c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s="9" customFormat="1" ht="15.75">
      <c r="A359" s="26"/>
      <c r="B359" s="27"/>
      <c r="C359" s="27"/>
      <c r="D359" s="27"/>
      <c r="E359" s="28"/>
      <c r="F359" s="28"/>
      <c r="G359" s="28"/>
      <c r="H359" s="28"/>
      <c r="I359" s="28"/>
      <c r="J359" s="28"/>
      <c r="K359" s="28"/>
      <c r="L359" s="28"/>
      <c r="M359" s="28"/>
      <c r="N359" s="151"/>
      <c r="O359" s="57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s="9" customFormat="1" ht="15.75">
      <c r="A360" s="17" t="s">
        <v>83</v>
      </c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49"/>
      <c r="O360" s="19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s="9" customFormat="1" ht="15.75">
      <c r="A361" s="37" t="s">
        <v>84</v>
      </c>
      <c r="B361" s="192">
        <f t="shared" ref="B361:G361" si="251">B281/B241</f>
        <v>1</v>
      </c>
      <c r="C361" s="192">
        <f t="shared" si="251"/>
        <v>0.9375</v>
      </c>
      <c r="D361" s="192">
        <f t="shared" si="251"/>
        <v>1</v>
      </c>
      <c r="E361" s="192">
        <f t="shared" si="251"/>
        <v>1</v>
      </c>
      <c r="F361" s="192">
        <f t="shared" si="251"/>
        <v>0.75</v>
      </c>
      <c r="G361" s="192">
        <f t="shared" si="251"/>
        <v>1</v>
      </c>
      <c r="H361" s="192">
        <f t="shared" ref="H361:J361" si="252">H281/H241</f>
        <v>0.88888888888888884</v>
      </c>
      <c r="I361" s="192">
        <f t="shared" si="252"/>
        <v>0.84615384615384615</v>
      </c>
      <c r="J361" s="192">
        <f t="shared" si="252"/>
        <v>1</v>
      </c>
      <c r="K361" s="192">
        <f t="shared" ref="K361:L361" si="253">K281/K241</f>
        <v>1</v>
      </c>
      <c r="L361" s="192">
        <f t="shared" si="253"/>
        <v>0.88888888888888884</v>
      </c>
      <c r="M361" s="192">
        <f t="shared" ref="M361" si="254">M281/M241</f>
        <v>1</v>
      </c>
      <c r="N361" s="219">
        <f>SUM(B361:M361)</f>
        <v>11.311431623931625</v>
      </c>
      <c r="O361" s="219">
        <f>IF(N361=0,0,AVERAGE(B361:M361))</f>
        <v>0.94261930199430211</v>
      </c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s="9" customFormat="1" ht="15.75">
      <c r="A362" s="37" t="s">
        <v>85</v>
      </c>
      <c r="B362" s="192">
        <f t="shared" ref="B362:G362" si="255">B261/B241</f>
        <v>0</v>
      </c>
      <c r="C362" s="192">
        <f t="shared" si="255"/>
        <v>6.25E-2</v>
      </c>
      <c r="D362" s="192">
        <f t="shared" si="255"/>
        <v>0</v>
      </c>
      <c r="E362" s="192">
        <f t="shared" si="255"/>
        <v>0</v>
      </c>
      <c r="F362" s="192">
        <f t="shared" si="255"/>
        <v>0.25</v>
      </c>
      <c r="G362" s="192">
        <f t="shared" si="255"/>
        <v>0</v>
      </c>
      <c r="H362" s="192">
        <f t="shared" ref="H362:J362" si="256">H261/H241</f>
        <v>0.1111111111111111</v>
      </c>
      <c r="I362" s="192">
        <f t="shared" si="256"/>
        <v>0.15384615384615385</v>
      </c>
      <c r="J362" s="192">
        <f t="shared" si="256"/>
        <v>0</v>
      </c>
      <c r="K362" s="192">
        <f t="shared" ref="K362:L362" si="257">K261/K241</f>
        <v>0</v>
      </c>
      <c r="L362" s="192">
        <f t="shared" si="257"/>
        <v>0.1111111111111111</v>
      </c>
      <c r="M362" s="192">
        <f t="shared" ref="M362" si="258">M261/M241</f>
        <v>0</v>
      </c>
      <c r="N362" s="219">
        <f>SUM(B362:M362)</f>
        <v>0.68856837606837606</v>
      </c>
      <c r="O362" s="219">
        <f>IF(N362=0,0,AVERAGE(B362:M362))</f>
        <v>5.7380698005698005E-2</v>
      </c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s="9" customFormat="1" ht="15.75">
      <c r="A363" s="37" t="s">
        <v>86</v>
      </c>
      <c r="B363" s="192">
        <v>0</v>
      </c>
      <c r="C363" s="192">
        <v>0</v>
      </c>
      <c r="D363" s="192">
        <v>0</v>
      </c>
      <c r="E363" s="192">
        <v>0</v>
      </c>
      <c r="F363" s="192">
        <v>0</v>
      </c>
      <c r="G363" s="192">
        <v>0</v>
      </c>
      <c r="H363" s="192">
        <v>0</v>
      </c>
      <c r="I363" s="192">
        <v>0</v>
      </c>
      <c r="J363" s="192">
        <v>0</v>
      </c>
      <c r="K363" s="192">
        <v>0</v>
      </c>
      <c r="L363" s="192">
        <v>0</v>
      </c>
      <c r="M363" s="192">
        <v>0</v>
      </c>
      <c r="N363" s="219">
        <f>SUM(B363:M363)</f>
        <v>0</v>
      </c>
      <c r="O363" s="219">
        <f>IF(N363=0,0,AVERAGE(B363:M363))</f>
        <v>0</v>
      </c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s="9" customFormat="1" ht="15.75">
      <c r="A364" s="23" t="s">
        <v>82</v>
      </c>
      <c r="B364" s="193">
        <f t="shared" ref="B364:G364" si="259">B358</f>
        <v>8.4507042253521125E-2</v>
      </c>
      <c r="C364" s="193">
        <f t="shared" si="259"/>
        <v>0.10062893081761007</v>
      </c>
      <c r="D364" s="193">
        <f t="shared" si="259"/>
        <v>7.407407407407407E-2</v>
      </c>
      <c r="E364" s="193">
        <f t="shared" si="259"/>
        <v>0.19444444444444445</v>
      </c>
      <c r="F364" s="193">
        <f t="shared" si="259"/>
        <v>0.2857142857142857</v>
      </c>
      <c r="G364" s="193">
        <f t="shared" si="259"/>
        <v>0.17910447761194029</v>
      </c>
      <c r="H364" s="193">
        <f t="shared" ref="H364:K364" si="260">H358</f>
        <v>9.8901098901098897E-2</v>
      </c>
      <c r="I364" s="193">
        <f t="shared" si="260"/>
        <v>8.6092715231788075E-2</v>
      </c>
      <c r="J364" s="193">
        <f t="shared" si="260"/>
        <v>6.1643835616438353E-2</v>
      </c>
      <c r="K364" s="193">
        <f t="shared" si="260"/>
        <v>6.1032863849765258E-2</v>
      </c>
      <c r="L364" s="193">
        <f t="shared" ref="L364:M364" si="261">L358</f>
        <v>4.5685279187817257E-2</v>
      </c>
      <c r="M364" s="193">
        <f t="shared" si="261"/>
        <v>4.4334975369458129E-2</v>
      </c>
      <c r="N364" s="193">
        <f>SUM(B364:M364)</f>
        <v>1.3161640230722418</v>
      </c>
      <c r="O364" s="193">
        <f>IF(N364=0,0,AVERAGE(B364:M364))</f>
        <v>0.10968033525602015</v>
      </c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s="9" customFormat="1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s="9" customFormat="1" ht="15.75">
      <c r="A366" s="58" t="s">
        <v>87</v>
      </c>
      <c r="B366" s="59"/>
      <c r="C366" s="59"/>
      <c r="D366" s="59"/>
      <c r="E366" s="59"/>
      <c r="F366" s="59"/>
      <c r="G366" s="59"/>
      <c r="H366" s="59"/>
      <c r="I366" s="59"/>
      <c r="J366" s="59"/>
      <c r="K366" s="59"/>
      <c r="L366" s="59"/>
      <c r="M366" s="59"/>
      <c r="N366" s="159"/>
      <c r="O366" s="60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s="9" customFormat="1">
      <c r="A367" s="33"/>
      <c r="B367" s="33"/>
      <c r="C367" s="33"/>
      <c r="D367" s="33"/>
      <c r="E367" s="33"/>
      <c r="F367" s="33"/>
      <c r="G367" s="33"/>
      <c r="H367" s="33"/>
      <c r="I367" s="33"/>
      <c r="J367" s="33"/>
      <c r="K367" s="33"/>
      <c r="L367" s="33"/>
      <c r="M367" s="33"/>
      <c r="N367" s="33"/>
      <c r="O367" s="33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s="9" customFormat="1" ht="15.75">
      <c r="A368" s="183" t="s">
        <v>88</v>
      </c>
      <c r="B368" s="306"/>
      <c r="C368" s="306"/>
      <c r="D368" s="306"/>
      <c r="E368" s="306"/>
      <c r="F368" s="306"/>
      <c r="G368" s="306"/>
      <c r="H368" s="306"/>
      <c r="I368" s="306"/>
      <c r="J368" s="198"/>
      <c r="K368" s="198"/>
      <c r="L368" s="198"/>
      <c r="M368" s="198"/>
      <c r="N368" s="185"/>
      <c r="O368" s="186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s="9" customFormat="1" ht="15.75">
      <c r="A369" s="307" t="s">
        <v>89</v>
      </c>
      <c r="B369" s="308"/>
      <c r="C369" s="308"/>
      <c r="D369" s="308"/>
      <c r="E369" s="308"/>
      <c r="F369" s="308"/>
      <c r="G369" s="308"/>
      <c r="H369" s="308"/>
      <c r="I369" s="308"/>
      <c r="J369" s="308"/>
      <c r="K369" s="308"/>
      <c r="L369" s="308"/>
      <c r="M369" s="308"/>
      <c r="N369" s="308"/>
      <c r="O369" s="309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s="9" customFormat="1" ht="15.75">
      <c r="A370" s="53" t="s">
        <v>90</v>
      </c>
      <c r="B370" s="38">
        <v>42</v>
      </c>
      <c r="C370" s="38">
        <v>49</v>
      </c>
      <c r="D370" s="38">
        <v>39</v>
      </c>
      <c r="E370" s="38">
        <v>0</v>
      </c>
      <c r="F370" s="38">
        <v>0</v>
      </c>
      <c r="G370" s="38">
        <v>2</v>
      </c>
      <c r="H370" s="38">
        <v>4</v>
      </c>
      <c r="I370" s="38">
        <v>44</v>
      </c>
      <c r="J370" s="461">
        <v>49</v>
      </c>
      <c r="K370" s="38">
        <v>10</v>
      </c>
      <c r="L370" s="38">
        <v>16</v>
      </c>
      <c r="M370" s="38">
        <v>6</v>
      </c>
      <c r="N370" s="155">
        <f t="shared" ref="N370:N375" si="262">SUM(B370:M370)</f>
        <v>261</v>
      </c>
      <c r="O370" s="45">
        <f t="shared" ref="O370:O375" si="263">IF(N370=0,0,AVERAGE(B370:M370))</f>
        <v>21.75</v>
      </c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s="9" customFormat="1" ht="15.75">
      <c r="A371" s="53" t="s">
        <v>91</v>
      </c>
      <c r="B371" s="38">
        <v>141</v>
      </c>
      <c r="C371" s="38">
        <v>109</v>
      </c>
      <c r="D371" s="38">
        <v>106</v>
      </c>
      <c r="E371" s="38">
        <v>37</v>
      </c>
      <c r="F371" s="38">
        <v>49</v>
      </c>
      <c r="G371" s="38">
        <v>57</v>
      </c>
      <c r="H371" s="38">
        <v>50</v>
      </c>
      <c r="I371" s="38">
        <v>112</v>
      </c>
      <c r="J371" s="461">
        <v>93</v>
      </c>
      <c r="K371" s="38">
        <v>184</v>
      </c>
      <c r="L371" s="38">
        <v>153</v>
      </c>
      <c r="M371" s="38">
        <f>153+13</f>
        <v>166</v>
      </c>
      <c r="N371" s="155">
        <f t="shared" si="262"/>
        <v>1257</v>
      </c>
      <c r="O371" s="45">
        <f t="shared" si="263"/>
        <v>104.75</v>
      </c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s="9" customFormat="1" ht="15.75">
      <c r="A372" s="53" t="s">
        <v>92</v>
      </c>
      <c r="B372" s="38">
        <v>11</v>
      </c>
      <c r="C372" s="38">
        <v>9</v>
      </c>
      <c r="D372" s="38">
        <v>3</v>
      </c>
      <c r="E372" s="38">
        <v>8</v>
      </c>
      <c r="F372" s="38">
        <v>6</v>
      </c>
      <c r="G372" s="38">
        <v>12</v>
      </c>
      <c r="H372" s="38">
        <v>38</v>
      </c>
      <c r="I372" s="38">
        <v>37</v>
      </c>
      <c r="J372" s="461">
        <v>27</v>
      </c>
      <c r="K372" s="38">
        <v>23</v>
      </c>
      <c r="L372" s="38">
        <v>32</v>
      </c>
      <c r="M372" s="38">
        <v>61</v>
      </c>
      <c r="N372" s="155">
        <f t="shared" si="262"/>
        <v>267</v>
      </c>
      <c r="O372" s="45">
        <f t="shared" si="263"/>
        <v>22.25</v>
      </c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s="9" customFormat="1" ht="15.75">
      <c r="A373" s="73" t="s">
        <v>21</v>
      </c>
      <c r="B373" s="47">
        <f t="shared" ref="B373:C373" si="264">SUM(B370:B372)</f>
        <v>194</v>
      </c>
      <c r="C373" s="47">
        <f t="shared" si="264"/>
        <v>167</v>
      </c>
      <c r="D373" s="47">
        <f t="shared" ref="D373:E373" si="265">SUM(D370:D372)</f>
        <v>148</v>
      </c>
      <c r="E373" s="47">
        <f t="shared" si="265"/>
        <v>45</v>
      </c>
      <c r="F373" s="47">
        <f t="shared" ref="F373:G373" si="266">SUM(F370:F372)</f>
        <v>55</v>
      </c>
      <c r="G373" s="47">
        <f t="shared" si="266"/>
        <v>71</v>
      </c>
      <c r="H373" s="47">
        <f t="shared" ref="H373:I373" si="267">SUM(H370:H372)</f>
        <v>92</v>
      </c>
      <c r="I373" s="47">
        <f t="shared" si="267"/>
        <v>193</v>
      </c>
      <c r="J373" s="47">
        <f t="shared" ref="J373:K373" si="268">SUM(J370:J372)</f>
        <v>169</v>
      </c>
      <c r="K373" s="47">
        <f t="shared" si="268"/>
        <v>217</v>
      </c>
      <c r="L373" s="47">
        <f t="shared" ref="L373:M373" si="269">SUM(L370:L372)</f>
        <v>201</v>
      </c>
      <c r="M373" s="47">
        <f t="shared" si="269"/>
        <v>233</v>
      </c>
      <c r="N373" s="156">
        <f t="shared" si="262"/>
        <v>1785</v>
      </c>
      <c r="O373" s="48">
        <f t="shared" si="263"/>
        <v>148.75</v>
      </c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s="9" customFormat="1" ht="15.75">
      <c r="A374" s="73" t="s">
        <v>93</v>
      </c>
      <c r="B374" s="47">
        <v>0</v>
      </c>
      <c r="C374" s="47">
        <v>0</v>
      </c>
      <c r="D374" s="47">
        <v>0</v>
      </c>
      <c r="E374" s="47">
        <v>0</v>
      </c>
      <c r="F374" s="47">
        <v>0</v>
      </c>
      <c r="G374" s="47">
        <v>1</v>
      </c>
      <c r="H374" s="47">
        <v>0</v>
      </c>
      <c r="I374" s="47">
        <v>0</v>
      </c>
      <c r="J374" s="47">
        <v>1</v>
      </c>
      <c r="K374" s="47">
        <v>0</v>
      </c>
      <c r="L374" s="47">
        <v>0</v>
      </c>
      <c r="M374" s="47">
        <v>0</v>
      </c>
      <c r="N374" s="156">
        <f t="shared" si="262"/>
        <v>2</v>
      </c>
      <c r="O374" s="48">
        <f t="shared" si="263"/>
        <v>0.16666666666666666</v>
      </c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</row>
    <row r="375" spans="1:26" s="9" customFormat="1" ht="15.75">
      <c r="A375" s="62" t="s">
        <v>94</v>
      </c>
      <c r="B375" s="25">
        <f t="shared" ref="B375:G375" si="270">IF(B373=0,"",B373/B1870)</f>
        <v>6.258064516129032</v>
      </c>
      <c r="C375" s="25">
        <f t="shared" si="270"/>
        <v>5.9642857142857144</v>
      </c>
      <c r="D375" s="25">
        <f t="shared" si="270"/>
        <v>4.774193548387097</v>
      </c>
      <c r="E375" s="25">
        <f t="shared" si="270"/>
        <v>1.5</v>
      </c>
      <c r="F375" s="25">
        <f t="shared" si="270"/>
        <v>1.7741935483870968</v>
      </c>
      <c r="G375" s="25">
        <f t="shared" si="270"/>
        <v>2.3666666666666667</v>
      </c>
      <c r="H375" s="25">
        <f t="shared" ref="H375:I375" si="271">IF(H373=0,"",H373/H1870)</f>
        <v>2.967741935483871</v>
      </c>
      <c r="I375" s="25">
        <f t="shared" si="271"/>
        <v>6.225806451612903</v>
      </c>
      <c r="J375" s="25">
        <f t="shared" ref="J375:K375" si="272">IF(J373=0,"",J373/J1870)</f>
        <v>5.6333333333333337</v>
      </c>
      <c r="K375" s="25">
        <f t="shared" si="272"/>
        <v>7</v>
      </c>
      <c r="L375" s="25">
        <f t="shared" ref="L375:M375" si="273">IF(L373=0,"",L373/L1870)</f>
        <v>6.7</v>
      </c>
      <c r="M375" s="25">
        <f t="shared" si="273"/>
        <v>7.5161290322580649</v>
      </c>
      <c r="N375" s="144">
        <f t="shared" si="262"/>
        <v>58.680414746543782</v>
      </c>
      <c r="O375" s="25">
        <f t="shared" si="263"/>
        <v>4.8900345622119819</v>
      </c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s="9" customFormat="1">
      <c r="A376" s="26"/>
      <c r="B376" s="27"/>
      <c r="C376" s="27"/>
      <c r="D376" s="27"/>
      <c r="E376" s="27"/>
      <c r="F376" s="27"/>
      <c r="G376" s="28"/>
      <c r="H376" s="28"/>
      <c r="I376" s="28"/>
      <c r="J376" s="28"/>
      <c r="K376" s="28"/>
      <c r="L376" s="28"/>
      <c r="M376" s="28"/>
      <c r="N376" s="151"/>
      <c r="O376" s="16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s="9" customFormat="1" ht="15.75">
      <c r="A377" s="64" t="s">
        <v>95</v>
      </c>
      <c r="B377" s="65">
        <f t="shared" ref="B377:H377" si="274">B373</f>
        <v>194</v>
      </c>
      <c r="C377" s="65">
        <f t="shared" si="274"/>
        <v>167</v>
      </c>
      <c r="D377" s="65">
        <f t="shared" si="274"/>
        <v>148</v>
      </c>
      <c r="E377" s="65">
        <f t="shared" si="274"/>
        <v>45</v>
      </c>
      <c r="F377" s="65">
        <f t="shared" si="274"/>
        <v>55</v>
      </c>
      <c r="G377" s="65">
        <f t="shared" si="274"/>
        <v>71</v>
      </c>
      <c r="H377" s="65">
        <f t="shared" si="274"/>
        <v>92</v>
      </c>
      <c r="I377" s="65">
        <f t="shared" ref="I377:L377" si="275">I373</f>
        <v>193</v>
      </c>
      <c r="J377" s="65">
        <f t="shared" si="275"/>
        <v>169</v>
      </c>
      <c r="K377" s="65">
        <f t="shared" si="275"/>
        <v>217</v>
      </c>
      <c r="L377" s="65">
        <f t="shared" si="275"/>
        <v>201</v>
      </c>
      <c r="M377" s="65">
        <f t="shared" ref="M377" si="276">M373</f>
        <v>233</v>
      </c>
      <c r="N377" s="144">
        <f>SUM(B377:M377)</f>
        <v>1785</v>
      </c>
      <c r="O377" s="25">
        <f>IF(N377=0,0,AVERAGE(B377:M377))</f>
        <v>148.75</v>
      </c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s="9" customFormat="1" ht="15.75">
      <c r="A378" s="37" t="s">
        <v>96</v>
      </c>
      <c r="B378" s="21">
        <v>5</v>
      </c>
      <c r="C378" s="21">
        <f>$B$378</f>
        <v>5</v>
      </c>
      <c r="D378" s="21">
        <f t="shared" ref="D378:I378" si="277">$B$378</f>
        <v>5</v>
      </c>
      <c r="E378" s="21">
        <f t="shared" si="277"/>
        <v>5</v>
      </c>
      <c r="F378" s="21">
        <f t="shared" si="277"/>
        <v>5</v>
      </c>
      <c r="G378" s="21">
        <f t="shared" si="277"/>
        <v>5</v>
      </c>
      <c r="H378" s="21">
        <f t="shared" si="277"/>
        <v>5</v>
      </c>
      <c r="I378" s="21">
        <f t="shared" si="277"/>
        <v>5</v>
      </c>
      <c r="J378" s="21">
        <v>5</v>
      </c>
      <c r="K378" s="21">
        <v>5</v>
      </c>
      <c r="L378" s="21">
        <v>5</v>
      </c>
      <c r="M378" s="21">
        <v>5</v>
      </c>
      <c r="N378" s="150">
        <f>SUM(B378:M378)</f>
        <v>60</v>
      </c>
      <c r="O378" s="22">
        <f>IF(N378=0,0,AVERAGE(B378:M378))</f>
        <v>5</v>
      </c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s="9" customFormat="1" ht="15.75">
      <c r="A379" s="62" t="s">
        <v>97</v>
      </c>
      <c r="B379" s="25">
        <f t="shared" ref="B379:H379" si="278">IF(B375="","",B375/B378)</f>
        <v>1.2516129032258063</v>
      </c>
      <c r="C379" s="25">
        <f t="shared" si="278"/>
        <v>1.1928571428571428</v>
      </c>
      <c r="D379" s="25">
        <f t="shared" si="278"/>
        <v>0.95483870967741935</v>
      </c>
      <c r="E379" s="25">
        <f t="shared" si="278"/>
        <v>0.3</v>
      </c>
      <c r="F379" s="25">
        <f t="shared" si="278"/>
        <v>0.35483870967741937</v>
      </c>
      <c r="G379" s="25">
        <f t="shared" si="278"/>
        <v>0.47333333333333333</v>
      </c>
      <c r="H379" s="25">
        <f t="shared" si="278"/>
        <v>0.59354838709677415</v>
      </c>
      <c r="I379" s="25">
        <f t="shared" ref="I379:K379" si="279">IF(I375="","",I375/I378)</f>
        <v>1.2451612903225806</v>
      </c>
      <c r="J379" s="25">
        <f t="shared" si="279"/>
        <v>1.1266666666666667</v>
      </c>
      <c r="K379" s="25">
        <f t="shared" si="279"/>
        <v>1.4</v>
      </c>
      <c r="L379" s="25">
        <f t="shared" ref="L379:M379" si="280">IF(L375="","",L375/L378)</f>
        <v>1.34</v>
      </c>
      <c r="M379" s="25">
        <f t="shared" si="280"/>
        <v>1.5032258064516131</v>
      </c>
      <c r="N379" s="144">
        <f>SUM(B379:M379)</f>
        <v>11.736082949308756</v>
      </c>
      <c r="O379" s="25">
        <f>IF(N379=0,0,AVERAGE(B379:M379))</f>
        <v>0.97800691244239635</v>
      </c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s="9" customFormat="1" ht="15.75">
      <c r="A380" s="26"/>
      <c r="B380" s="27"/>
      <c r="C380" s="27"/>
      <c r="D380" s="27"/>
      <c r="E380" s="28"/>
      <c r="F380" s="28"/>
      <c r="G380" s="28"/>
      <c r="H380" s="28"/>
      <c r="I380" s="28"/>
      <c r="J380" s="28"/>
      <c r="K380" s="28"/>
      <c r="L380" s="28"/>
      <c r="M380" s="28"/>
      <c r="N380" s="151"/>
      <c r="O380" s="57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s="9" customFormat="1" ht="15.75">
      <c r="A381" s="66" t="s">
        <v>98</v>
      </c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149"/>
      <c r="O381" s="19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s="9" customFormat="1" ht="15.75">
      <c r="A382" s="37" t="s">
        <v>99</v>
      </c>
      <c r="B382" s="21">
        <v>165</v>
      </c>
      <c r="C382" s="21">
        <v>156</v>
      </c>
      <c r="D382" s="21">
        <v>136</v>
      </c>
      <c r="E382" s="21">
        <v>31</v>
      </c>
      <c r="F382" s="21">
        <v>38</v>
      </c>
      <c r="G382" s="21">
        <v>48</v>
      </c>
      <c r="H382" s="21">
        <v>68</v>
      </c>
      <c r="I382" s="21">
        <v>178</v>
      </c>
      <c r="J382" s="21">
        <v>158</v>
      </c>
      <c r="K382" s="21">
        <v>207</v>
      </c>
      <c r="L382" s="21">
        <v>195</v>
      </c>
      <c r="M382" s="21">
        <f>211+13</f>
        <v>224</v>
      </c>
      <c r="N382" s="150">
        <f>SUM(B382:M382)</f>
        <v>1604</v>
      </c>
      <c r="O382" s="22">
        <f>IF(N382=0,0,AVERAGE(B382:M382))</f>
        <v>133.66666666666666</v>
      </c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s="9" customFormat="1" ht="15.75">
      <c r="A383" s="37" t="s">
        <v>413</v>
      </c>
      <c r="B383" s="21">
        <v>29</v>
      </c>
      <c r="C383" s="21">
        <v>11</v>
      </c>
      <c r="D383" s="21">
        <v>12</v>
      </c>
      <c r="E383" s="21">
        <v>14</v>
      </c>
      <c r="F383" s="21">
        <v>17</v>
      </c>
      <c r="G383" s="21">
        <v>23</v>
      </c>
      <c r="H383" s="21">
        <v>24</v>
      </c>
      <c r="I383" s="21">
        <v>15</v>
      </c>
      <c r="J383" s="21">
        <v>11</v>
      </c>
      <c r="K383" s="21">
        <v>10</v>
      </c>
      <c r="L383" s="21">
        <v>6</v>
      </c>
      <c r="M383" s="21">
        <v>9</v>
      </c>
      <c r="N383" s="150">
        <f>SUM(B383:M383)</f>
        <v>181</v>
      </c>
      <c r="O383" s="22">
        <f>IF(N383=0,0,AVERAGE(B383:M383))</f>
        <v>15.083333333333334</v>
      </c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s="9" customFormat="1" ht="15.75">
      <c r="A384" s="62" t="s">
        <v>21</v>
      </c>
      <c r="B384" s="24">
        <f t="shared" ref="B384:D384" si="281">SUM(B382:B383)</f>
        <v>194</v>
      </c>
      <c r="C384" s="24">
        <f t="shared" si="281"/>
        <v>167</v>
      </c>
      <c r="D384" s="24">
        <f t="shared" si="281"/>
        <v>148</v>
      </c>
      <c r="E384" s="24">
        <f t="shared" ref="E384:M384" si="282">SUM(E382:E383)</f>
        <v>45</v>
      </c>
      <c r="F384" s="24">
        <f t="shared" si="282"/>
        <v>55</v>
      </c>
      <c r="G384" s="24">
        <f t="shared" si="282"/>
        <v>71</v>
      </c>
      <c r="H384" s="24">
        <f t="shared" si="282"/>
        <v>92</v>
      </c>
      <c r="I384" s="24">
        <f t="shared" si="282"/>
        <v>193</v>
      </c>
      <c r="J384" s="24">
        <f t="shared" si="282"/>
        <v>169</v>
      </c>
      <c r="K384" s="24">
        <f t="shared" si="282"/>
        <v>217</v>
      </c>
      <c r="L384" s="24">
        <f t="shared" si="282"/>
        <v>201</v>
      </c>
      <c r="M384" s="24">
        <f t="shared" si="282"/>
        <v>233</v>
      </c>
      <c r="N384" s="144">
        <f>SUM(N382:N383)</f>
        <v>1785</v>
      </c>
      <c r="O384" s="25">
        <f>SUM(O382:O383)</f>
        <v>148.75</v>
      </c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s="9" customFormat="1" ht="15.75">
      <c r="A385" s="67" t="s">
        <v>375</v>
      </c>
      <c r="B385" s="68">
        <f>SUM(B390,B392:B394,B395)</f>
        <v>109</v>
      </c>
      <c r="C385" s="68"/>
      <c r="D385" s="68"/>
      <c r="E385" s="68"/>
      <c r="F385" s="68"/>
      <c r="G385" s="68"/>
      <c r="H385" s="68"/>
      <c r="I385" s="68"/>
      <c r="J385" s="68"/>
      <c r="K385" s="68"/>
      <c r="L385" s="68"/>
      <c r="M385" s="68"/>
      <c r="N385" s="161"/>
      <c r="O385" s="69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s="9" customFormat="1" ht="15.75">
      <c r="A386" s="395" t="s">
        <v>819</v>
      </c>
      <c r="B386" s="396"/>
      <c r="C386" s="396"/>
      <c r="D386" s="396"/>
      <c r="E386" s="396"/>
      <c r="F386" s="396"/>
      <c r="G386" s="396"/>
      <c r="H386" s="396"/>
      <c r="I386" s="396"/>
      <c r="J386" s="396"/>
      <c r="K386" s="396"/>
      <c r="L386" s="396"/>
      <c r="M386" s="396"/>
      <c r="N386" s="393"/>
      <c r="O386" s="394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s="9" customFormat="1" ht="15.75">
      <c r="A387" s="37" t="s">
        <v>663</v>
      </c>
      <c r="B387" s="21">
        <v>6</v>
      </c>
      <c r="C387" s="21">
        <v>3</v>
      </c>
      <c r="D387" s="21">
        <v>2</v>
      </c>
      <c r="E387" s="21">
        <v>1</v>
      </c>
      <c r="F387" s="21">
        <v>6</v>
      </c>
      <c r="G387" s="21">
        <v>9</v>
      </c>
      <c r="H387" s="21">
        <v>3</v>
      </c>
      <c r="I387" s="21">
        <v>3</v>
      </c>
      <c r="J387" s="87">
        <v>2</v>
      </c>
      <c r="K387" s="21">
        <v>0</v>
      </c>
      <c r="L387" s="21">
        <v>0</v>
      </c>
      <c r="M387" s="21">
        <v>0</v>
      </c>
      <c r="N387" s="150">
        <f t="shared" ref="N387:N398" si="283">SUM(B387:M387)</f>
        <v>35</v>
      </c>
      <c r="O387" s="22">
        <f t="shared" ref="O387:O398" si="284">IF(N387=0,0,AVERAGE(B387:M387))</f>
        <v>2.9166666666666665</v>
      </c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s="9" customFormat="1" ht="15.75">
      <c r="A388" s="37" t="s">
        <v>26</v>
      </c>
      <c r="B388" s="21">
        <v>3</v>
      </c>
      <c r="C388" s="21">
        <v>2</v>
      </c>
      <c r="D388" s="21">
        <v>1</v>
      </c>
      <c r="E388" s="21">
        <v>0</v>
      </c>
      <c r="F388" s="21">
        <v>0</v>
      </c>
      <c r="G388" s="21">
        <v>1</v>
      </c>
      <c r="H388" s="21">
        <v>0</v>
      </c>
      <c r="I388" s="21">
        <v>4</v>
      </c>
      <c r="J388" s="87">
        <v>3</v>
      </c>
      <c r="K388" s="21">
        <v>10</v>
      </c>
      <c r="L388" s="21">
        <v>10</v>
      </c>
      <c r="M388" s="21">
        <v>12</v>
      </c>
      <c r="N388" s="150">
        <f t="shared" si="283"/>
        <v>46</v>
      </c>
      <c r="O388" s="22">
        <f t="shared" si="284"/>
        <v>3.8333333333333335</v>
      </c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s="9" customFormat="1" ht="15.75">
      <c r="A389" s="37" t="s">
        <v>321</v>
      </c>
      <c r="B389" s="21">
        <v>16</v>
      </c>
      <c r="C389" s="21">
        <v>11</v>
      </c>
      <c r="D389" s="21">
        <v>12</v>
      </c>
      <c r="E389" s="21">
        <v>0</v>
      </c>
      <c r="F389" s="21">
        <v>0</v>
      </c>
      <c r="G389" s="21">
        <v>0</v>
      </c>
      <c r="H389" s="21">
        <v>5</v>
      </c>
      <c r="I389" s="21">
        <v>10</v>
      </c>
      <c r="J389" s="87">
        <v>17</v>
      </c>
      <c r="K389" s="21">
        <v>38</v>
      </c>
      <c r="L389" s="21">
        <v>25</v>
      </c>
      <c r="M389" s="21">
        <v>17</v>
      </c>
      <c r="N389" s="150">
        <f t="shared" si="283"/>
        <v>151</v>
      </c>
      <c r="O389" s="22">
        <f t="shared" si="284"/>
        <v>12.583333333333334</v>
      </c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s="9" customFormat="1" ht="15.75">
      <c r="A390" s="37" t="s">
        <v>322</v>
      </c>
      <c r="B390" s="21">
        <v>28</v>
      </c>
      <c r="C390" s="21">
        <v>39</v>
      </c>
      <c r="D390" s="21">
        <v>25</v>
      </c>
      <c r="E390" s="21">
        <v>0</v>
      </c>
      <c r="F390" s="21">
        <v>0</v>
      </c>
      <c r="G390" s="21">
        <v>0</v>
      </c>
      <c r="H390" s="21">
        <v>2</v>
      </c>
      <c r="I390" s="21">
        <v>31</v>
      </c>
      <c r="J390" s="87">
        <v>32</v>
      </c>
      <c r="K390" s="21">
        <v>0</v>
      </c>
      <c r="L390" s="21">
        <v>0</v>
      </c>
      <c r="M390" s="21">
        <v>0</v>
      </c>
      <c r="N390" s="150">
        <f t="shared" si="283"/>
        <v>157</v>
      </c>
      <c r="O390" s="22">
        <f t="shared" si="284"/>
        <v>13.083333333333334</v>
      </c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s="9" customFormat="1" ht="15.75">
      <c r="A391" s="37" t="s">
        <v>25</v>
      </c>
      <c r="B391" s="21">
        <v>38</v>
      </c>
      <c r="C391" s="21">
        <v>22</v>
      </c>
      <c r="D391" s="21">
        <v>29</v>
      </c>
      <c r="E391" s="21">
        <v>11</v>
      </c>
      <c r="F391" s="21">
        <v>11</v>
      </c>
      <c r="G391" s="21">
        <v>16</v>
      </c>
      <c r="H391" s="21">
        <v>27</v>
      </c>
      <c r="I391" s="21">
        <v>45</v>
      </c>
      <c r="J391" s="87">
        <v>37</v>
      </c>
      <c r="K391" s="21">
        <v>34</v>
      </c>
      <c r="L391" s="21">
        <v>18</v>
      </c>
      <c r="M391" s="21">
        <v>34</v>
      </c>
      <c r="N391" s="150">
        <f t="shared" si="283"/>
        <v>322</v>
      </c>
      <c r="O391" s="22">
        <f t="shared" si="284"/>
        <v>26.833333333333332</v>
      </c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s="9" customFormat="1" ht="15.75">
      <c r="A392" s="40" t="s">
        <v>100</v>
      </c>
      <c r="B392" s="21">
        <v>32</v>
      </c>
      <c r="C392" s="21">
        <v>19</v>
      </c>
      <c r="D392" s="21">
        <v>24</v>
      </c>
      <c r="E392" s="21">
        <v>2</v>
      </c>
      <c r="F392" s="21">
        <v>9</v>
      </c>
      <c r="G392" s="21">
        <v>9</v>
      </c>
      <c r="H392" s="21">
        <v>22</v>
      </c>
      <c r="I392" s="21">
        <v>29</v>
      </c>
      <c r="J392" s="87">
        <v>11</v>
      </c>
      <c r="K392" s="21">
        <v>33</v>
      </c>
      <c r="L392" s="21">
        <v>38</v>
      </c>
      <c r="M392" s="21">
        <v>34</v>
      </c>
      <c r="N392" s="150">
        <f t="shared" si="283"/>
        <v>262</v>
      </c>
      <c r="O392" s="22">
        <f t="shared" si="284"/>
        <v>21.833333333333332</v>
      </c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s="9" customFormat="1" ht="15.75">
      <c r="A393" s="37" t="s">
        <v>323</v>
      </c>
      <c r="B393" s="21">
        <v>20</v>
      </c>
      <c r="C393" s="21">
        <v>25</v>
      </c>
      <c r="D393" s="21">
        <v>21</v>
      </c>
      <c r="E393" s="21">
        <v>7</v>
      </c>
      <c r="F393" s="21">
        <v>0</v>
      </c>
      <c r="G393" s="21">
        <v>0</v>
      </c>
      <c r="H393" s="21">
        <v>0</v>
      </c>
      <c r="I393" s="21">
        <v>32</v>
      </c>
      <c r="J393" s="87">
        <v>14</v>
      </c>
      <c r="K393" s="21">
        <v>45</v>
      </c>
      <c r="L393" s="21">
        <v>52</v>
      </c>
      <c r="M393" s="21">
        <v>46</v>
      </c>
      <c r="N393" s="150">
        <f t="shared" si="283"/>
        <v>262</v>
      </c>
      <c r="O393" s="22">
        <f t="shared" si="284"/>
        <v>21.833333333333332</v>
      </c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s="9" customFormat="1" ht="15.75">
      <c r="A394" s="37" t="s">
        <v>659</v>
      </c>
      <c r="B394" s="21">
        <v>26</v>
      </c>
      <c r="C394" s="21">
        <v>38</v>
      </c>
      <c r="D394" s="21">
        <v>21</v>
      </c>
      <c r="E394" s="21">
        <v>6</v>
      </c>
      <c r="F394" s="21">
        <v>4</v>
      </c>
      <c r="G394" s="21">
        <v>19</v>
      </c>
      <c r="H394" s="21">
        <v>13</v>
      </c>
      <c r="I394" s="21">
        <v>20</v>
      </c>
      <c r="J394" s="87">
        <v>32</v>
      </c>
      <c r="K394" s="21">
        <v>39</v>
      </c>
      <c r="L394" s="21">
        <v>35</v>
      </c>
      <c r="M394" s="21">
        <v>49</v>
      </c>
      <c r="N394" s="150">
        <f t="shared" si="283"/>
        <v>302</v>
      </c>
      <c r="O394" s="22">
        <f t="shared" si="284"/>
        <v>25.166666666666668</v>
      </c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s="9" customFormat="1" ht="15.75">
      <c r="A395" s="9" t="s">
        <v>673</v>
      </c>
      <c r="B395" s="21">
        <v>3</v>
      </c>
      <c r="C395" s="21">
        <v>0</v>
      </c>
      <c r="D395" s="21">
        <v>1</v>
      </c>
      <c r="E395" s="21">
        <v>0</v>
      </c>
      <c r="F395" s="21">
        <v>0</v>
      </c>
      <c r="G395" s="21">
        <v>0</v>
      </c>
      <c r="H395" s="21">
        <v>0</v>
      </c>
      <c r="I395" s="21">
        <v>1</v>
      </c>
      <c r="J395" s="87">
        <v>1</v>
      </c>
      <c r="K395" s="21">
        <v>0</v>
      </c>
      <c r="L395" s="21">
        <v>1</v>
      </c>
      <c r="M395" s="21">
        <v>2</v>
      </c>
      <c r="N395" s="150">
        <f>SUM(B395:M395)</f>
        <v>9</v>
      </c>
      <c r="O395" s="22">
        <f t="shared" si="284"/>
        <v>0.75</v>
      </c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s="9" customFormat="1" ht="15.75">
      <c r="A396" s="37" t="s">
        <v>101</v>
      </c>
      <c r="B396" s="71">
        <v>10</v>
      </c>
      <c r="C396" s="71">
        <v>3</v>
      </c>
      <c r="D396" s="71">
        <v>10</v>
      </c>
      <c r="E396" s="71">
        <v>15</v>
      </c>
      <c r="F396" s="71">
        <v>23</v>
      </c>
      <c r="G396" s="71">
        <v>15</v>
      </c>
      <c r="H396" s="71">
        <v>17</v>
      </c>
      <c r="I396" s="71">
        <v>13</v>
      </c>
      <c r="J396" s="462">
        <v>14</v>
      </c>
      <c r="K396" s="71">
        <v>1</v>
      </c>
      <c r="L396" s="71">
        <v>0</v>
      </c>
      <c r="M396" s="71">
        <v>0</v>
      </c>
      <c r="N396" s="150">
        <f t="shared" ref="N396:N397" si="285">SUM(B396:M396)</f>
        <v>121</v>
      </c>
      <c r="O396" s="22">
        <f t="shared" ref="O396:O397" si="286">IF(N396=0,0,AVERAGE(B396:M396))</f>
        <v>10.083333333333334</v>
      </c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s="9" customFormat="1" ht="15.75">
      <c r="A397" s="37" t="s">
        <v>102</v>
      </c>
      <c r="B397" s="71">
        <v>10</v>
      </c>
      <c r="C397" s="71">
        <v>5</v>
      </c>
      <c r="D397" s="71">
        <v>2</v>
      </c>
      <c r="E397" s="71">
        <v>2</v>
      </c>
      <c r="F397" s="71">
        <v>1</v>
      </c>
      <c r="G397" s="71">
        <v>2</v>
      </c>
      <c r="H397" s="71">
        <v>2</v>
      </c>
      <c r="I397" s="71">
        <v>5</v>
      </c>
      <c r="J397" s="462">
        <v>6</v>
      </c>
      <c r="K397" s="71">
        <v>16</v>
      </c>
      <c r="L397" s="71">
        <v>15</v>
      </c>
      <c r="M397" s="71">
        <v>15</v>
      </c>
      <c r="N397" s="150">
        <f t="shared" si="285"/>
        <v>81</v>
      </c>
      <c r="O397" s="22">
        <f t="shared" si="286"/>
        <v>6.75</v>
      </c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s="9" customFormat="1" ht="15.75">
      <c r="A398" s="70" t="s">
        <v>22</v>
      </c>
      <c r="B398" s="71">
        <v>2</v>
      </c>
      <c r="C398" s="71">
        <v>0</v>
      </c>
      <c r="D398" s="71">
        <v>0</v>
      </c>
      <c r="E398" s="71">
        <v>1</v>
      </c>
      <c r="F398" s="71">
        <v>1</v>
      </c>
      <c r="G398" s="71">
        <v>0</v>
      </c>
      <c r="H398" s="71">
        <v>1</v>
      </c>
      <c r="I398" s="71">
        <v>0</v>
      </c>
      <c r="J398" s="71">
        <v>0</v>
      </c>
      <c r="K398" s="71">
        <f>1</f>
        <v>1</v>
      </c>
      <c r="L398" s="71">
        <v>7</v>
      </c>
      <c r="M398" s="71">
        <f>11+13</f>
        <v>24</v>
      </c>
      <c r="N398" s="162">
        <f t="shared" si="283"/>
        <v>37</v>
      </c>
      <c r="O398" s="72">
        <f t="shared" si="284"/>
        <v>3.0833333333333335</v>
      </c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s="9" customFormat="1" ht="15.75">
      <c r="A399" s="73" t="s">
        <v>21</v>
      </c>
      <c r="B399" s="47">
        <f t="shared" ref="B399:O399" si="287">SUM(B387:B398)</f>
        <v>194</v>
      </c>
      <c r="C399" s="47">
        <f t="shared" ref="C399:D399" si="288">SUM(C387:C398)</f>
        <v>167</v>
      </c>
      <c r="D399" s="47">
        <f t="shared" si="288"/>
        <v>148</v>
      </c>
      <c r="E399" s="47">
        <f t="shared" ref="E399:F399" si="289">SUM(E387:E398)</f>
        <v>45</v>
      </c>
      <c r="F399" s="47">
        <f t="shared" si="289"/>
        <v>55</v>
      </c>
      <c r="G399" s="47">
        <f t="shared" ref="G399:H399" si="290">SUM(G387:G398)</f>
        <v>71</v>
      </c>
      <c r="H399" s="47">
        <f t="shared" si="290"/>
        <v>92</v>
      </c>
      <c r="I399" s="47">
        <f t="shared" ref="I399:K399" si="291">SUM(I387:I398)</f>
        <v>193</v>
      </c>
      <c r="J399" s="47">
        <f t="shared" si="291"/>
        <v>169</v>
      </c>
      <c r="K399" s="47">
        <f t="shared" si="291"/>
        <v>217</v>
      </c>
      <c r="L399" s="47">
        <f t="shared" ref="L399:M399" si="292">SUM(L387:L398)</f>
        <v>201</v>
      </c>
      <c r="M399" s="47">
        <f t="shared" si="292"/>
        <v>233</v>
      </c>
      <c r="N399" s="156">
        <f t="shared" si="287"/>
        <v>1785</v>
      </c>
      <c r="O399" s="48">
        <f t="shared" si="287"/>
        <v>148.75</v>
      </c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s="9" customFormat="1" ht="15.75">
      <c r="A400" s="80" t="s">
        <v>738</v>
      </c>
      <c r="B400" s="25">
        <f t="shared" ref="B400:G400" si="293">IF(B399=0,"",B399/B$1870)</f>
        <v>6.258064516129032</v>
      </c>
      <c r="C400" s="25">
        <f t="shared" si="293"/>
        <v>5.9642857142857144</v>
      </c>
      <c r="D400" s="25">
        <f t="shared" si="293"/>
        <v>4.774193548387097</v>
      </c>
      <c r="E400" s="25">
        <f t="shared" si="293"/>
        <v>1.5</v>
      </c>
      <c r="F400" s="25">
        <f t="shared" si="293"/>
        <v>1.7741935483870968</v>
      </c>
      <c r="G400" s="25">
        <f t="shared" si="293"/>
        <v>2.3666666666666667</v>
      </c>
      <c r="H400" s="25">
        <f t="shared" ref="H400:I400" si="294">IF(H399=0,"",H399/H$1870)</f>
        <v>2.967741935483871</v>
      </c>
      <c r="I400" s="25">
        <f t="shared" si="294"/>
        <v>6.225806451612903</v>
      </c>
      <c r="J400" s="25">
        <f t="shared" ref="J400:K400" si="295">IF(J399=0,"",J399/J$1870)</f>
        <v>5.6333333333333337</v>
      </c>
      <c r="K400" s="25">
        <f t="shared" si="295"/>
        <v>7</v>
      </c>
      <c r="L400" s="25">
        <f t="shared" ref="L400:M400" si="296">IF(L399=0,"",L399/L$1870)</f>
        <v>6.7</v>
      </c>
      <c r="M400" s="25">
        <f t="shared" si="296"/>
        <v>7.5161290322580649</v>
      </c>
      <c r="N400" s="144">
        <f>SUM(B400:M400)</f>
        <v>58.680414746543782</v>
      </c>
      <c r="O400" s="25">
        <f>IF(N400=0,0,AVERAGE(B400:M400))</f>
        <v>4.8900345622119819</v>
      </c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s="386" customFormat="1" ht="15.75">
      <c r="A401" s="412"/>
      <c r="B401" s="421"/>
      <c r="C401" s="421"/>
      <c r="D401" s="421"/>
      <c r="E401" s="421"/>
      <c r="F401" s="421"/>
      <c r="G401" s="421"/>
      <c r="H401" s="421"/>
      <c r="I401" s="421"/>
      <c r="J401" s="421"/>
      <c r="K401" s="421"/>
      <c r="L401" s="421"/>
      <c r="M401" s="421"/>
      <c r="N401" s="414"/>
      <c r="O401" s="415"/>
      <c r="P401" s="385"/>
      <c r="Q401" s="385"/>
      <c r="R401" s="385"/>
      <c r="S401" s="385"/>
      <c r="T401" s="385"/>
      <c r="U401" s="385"/>
      <c r="V401" s="385"/>
      <c r="W401" s="385"/>
      <c r="X401" s="385"/>
      <c r="Y401" s="385"/>
      <c r="Z401" s="385"/>
    </row>
    <row r="402" spans="1:26" s="9" customFormat="1" ht="15.75">
      <c r="A402" s="395" t="s">
        <v>846</v>
      </c>
      <c r="B402" s="396"/>
      <c r="C402" s="396"/>
      <c r="D402" s="396"/>
      <c r="E402" s="396"/>
      <c r="F402" s="396"/>
      <c r="G402" s="396"/>
      <c r="H402" s="396"/>
      <c r="I402" s="396"/>
      <c r="J402" s="396"/>
      <c r="K402" s="396"/>
      <c r="L402" s="396"/>
      <c r="M402" s="396"/>
      <c r="N402" s="393"/>
      <c r="O402" s="394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s="9" customFormat="1" ht="15.75">
      <c r="A403" s="37" t="s">
        <v>663</v>
      </c>
      <c r="B403" s="323">
        <v>0.73611111111111116</v>
      </c>
      <c r="C403" s="323">
        <v>0.21527777777777779</v>
      </c>
      <c r="D403" s="323">
        <v>0.25</v>
      </c>
      <c r="E403" s="323">
        <v>4.1666666666666664E-2</v>
      </c>
      <c r="F403" s="382">
        <v>0.57291666666666663</v>
      </c>
      <c r="G403" s="323">
        <v>0.67361111111111116</v>
      </c>
      <c r="H403" s="323">
        <v>0.25694444444444448</v>
      </c>
      <c r="I403" s="382">
        <v>0.15972222222222224</v>
      </c>
      <c r="J403" s="463">
        <v>0.12847222222222224</v>
      </c>
      <c r="K403" s="382">
        <v>0</v>
      </c>
      <c r="L403" s="382">
        <v>0</v>
      </c>
      <c r="M403" s="382">
        <v>0</v>
      </c>
      <c r="N403" s="418">
        <f t="shared" ref="N403:N415" si="297">SUM(B403:M403)</f>
        <v>3.0347222222222228</v>
      </c>
      <c r="O403" s="418">
        <f t="shared" ref="O403:O414" si="298">IF(N403=0,0,AVERAGE(B403:M403))</f>
        <v>0.25289351851851855</v>
      </c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s="9" customFormat="1" ht="15.75">
      <c r="A404" s="37" t="s">
        <v>26</v>
      </c>
      <c r="B404" s="323">
        <v>0.29166666666666669</v>
      </c>
      <c r="C404" s="323">
        <v>0.23958333333333334</v>
      </c>
      <c r="D404" s="323">
        <v>0.1111111111111111</v>
      </c>
      <c r="E404" s="323">
        <v>0</v>
      </c>
      <c r="F404" s="382">
        <v>0</v>
      </c>
      <c r="G404" s="323">
        <v>0.12847222222222224</v>
      </c>
      <c r="H404" s="323">
        <v>0</v>
      </c>
      <c r="I404" s="382">
        <v>0.4375</v>
      </c>
      <c r="J404" s="463">
        <v>0.33680555555555558</v>
      </c>
      <c r="K404" s="323">
        <v>0.57291666666666663</v>
      </c>
      <c r="L404" s="323">
        <v>1</v>
      </c>
      <c r="M404" s="323">
        <v>1.09375</v>
      </c>
      <c r="N404" s="418">
        <f t="shared" si="297"/>
        <v>4.2118055555555554</v>
      </c>
      <c r="O404" s="418">
        <f t="shared" si="298"/>
        <v>0.35098379629629628</v>
      </c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s="9" customFormat="1" ht="15.75">
      <c r="A405" s="37" t="s">
        <v>321</v>
      </c>
      <c r="B405" s="323">
        <v>0.90277777777777779</v>
      </c>
      <c r="C405" s="323">
        <v>0.70138888888888884</v>
      </c>
      <c r="D405" s="323">
        <v>0.82291666666666663</v>
      </c>
      <c r="E405" s="323">
        <v>0</v>
      </c>
      <c r="F405" s="382">
        <v>0</v>
      </c>
      <c r="G405" s="323">
        <v>0</v>
      </c>
      <c r="H405" s="323">
        <v>0.2986111111111111</v>
      </c>
      <c r="I405" s="382">
        <v>0.60763888888888895</v>
      </c>
      <c r="J405" s="463">
        <v>0.89583333333333337</v>
      </c>
      <c r="K405" s="323">
        <v>1.8784722222222223</v>
      </c>
      <c r="L405" s="323">
        <v>1.1909722222222221</v>
      </c>
      <c r="M405" s="323">
        <v>1.1597222222222221</v>
      </c>
      <c r="N405" s="418">
        <f t="shared" si="297"/>
        <v>8.4583333333333321</v>
      </c>
      <c r="O405" s="418">
        <f t="shared" si="298"/>
        <v>0.70486111111111105</v>
      </c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s="9" customFormat="1" ht="15.75">
      <c r="A406" s="37" t="s">
        <v>322</v>
      </c>
      <c r="B406" s="323">
        <v>0.46527777777777773</v>
      </c>
      <c r="C406" s="323">
        <v>0.50694444444444442</v>
      </c>
      <c r="D406" s="323">
        <v>0.80208333333333337</v>
      </c>
      <c r="E406" s="323">
        <v>0</v>
      </c>
      <c r="F406" s="382">
        <v>0</v>
      </c>
      <c r="G406" s="323">
        <v>0</v>
      </c>
      <c r="H406" s="323">
        <v>3.8194444444444441E-2</v>
      </c>
      <c r="I406" s="382">
        <v>0.92013888888888884</v>
      </c>
      <c r="J406" s="464">
        <v>1.04375</v>
      </c>
      <c r="K406" s="323">
        <v>0</v>
      </c>
      <c r="L406" s="323">
        <v>0</v>
      </c>
      <c r="M406" s="323">
        <v>0</v>
      </c>
      <c r="N406" s="418">
        <f t="shared" si="297"/>
        <v>3.7763888888888886</v>
      </c>
      <c r="O406" s="418">
        <f t="shared" si="298"/>
        <v>0.31469907407407405</v>
      </c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s="9" customFormat="1" ht="15.75">
      <c r="A407" s="37" t="s">
        <v>25</v>
      </c>
      <c r="B407" s="323">
        <v>3.1805555555555554</v>
      </c>
      <c r="C407" s="323">
        <v>1.7048611111111109</v>
      </c>
      <c r="D407" s="323">
        <v>2.1145833333333335</v>
      </c>
      <c r="E407" s="323">
        <v>1.0277777777777779</v>
      </c>
      <c r="F407" s="382">
        <v>0.78472222222222221</v>
      </c>
      <c r="G407" s="323">
        <v>1.7569444444444444</v>
      </c>
      <c r="H407" s="323">
        <v>2.8854166666666665</v>
      </c>
      <c r="I407" s="323">
        <v>2.9548611111111112</v>
      </c>
      <c r="J407" s="464">
        <v>2.1368055555555556</v>
      </c>
      <c r="K407" s="323">
        <v>1.4409722222222223</v>
      </c>
      <c r="L407" s="323">
        <v>0.54166666666666663</v>
      </c>
      <c r="M407" s="323">
        <v>2.6777777777777776</v>
      </c>
      <c r="N407" s="418">
        <f t="shared" si="297"/>
        <v>23.206944444444442</v>
      </c>
      <c r="O407" s="418">
        <f t="shared" si="298"/>
        <v>1.9339120370370368</v>
      </c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s="9" customFormat="1" ht="15.75">
      <c r="A408" s="40" t="s">
        <v>100</v>
      </c>
      <c r="B408" s="323">
        <v>4.6805555555555554</v>
      </c>
      <c r="C408" s="323">
        <v>1.9826388888888891</v>
      </c>
      <c r="D408" s="323">
        <v>3.2951388888888888</v>
      </c>
      <c r="E408" s="323">
        <v>7.2916666666666671E-2</v>
      </c>
      <c r="F408" s="323">
        <v>1.1215277777777779</v>
      </c>
      <c r="G408" s="323">
        <v>1.0486111111111112</v>
      </c>
      <c r="H408" s="323">
        <v>2.1840277777777777</v>
      </c>
      <c r="I408" s="323">
        <v>2.6944444444444446</v>
      </c>
      <c r="J408" s="464">
        <v>1.0138888888888888</v>
      </c>
      <c r="K408" s="323">
        <v>1.65625</v>
      </c>
      <c r="L408" s="323">
        <v>4.1687500000000002</v>
      </c>
      <c r="M408" s="323">
        <v>2.6166666666666667</v>
      </c>
      <c r="N408" s="418">
        <f t="shared" si="297"/>
        <v>26.53541666666667</v>
      </c>
      <c r="O408" s="418">
        <f t="shared" si="298"/>
        <v>2.2112847222222225</v>
      </c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s="9" customFormat="1" ht="15.75">
      <c r="A409" s="37" t="s">
        <v>323</v>
      </c>
      <c r="B409" s="323">
        <v>1.5555555555555556</v>
      </c>
      <c r="C409" s="323">
        <v>1.375</v>
      </c>
      <c r="D409" s="323">
        <v>1.0173611111111112</v>
      </c>
      <c r="E409" s="323">
        <v>0.39583333333333331</v>
      </c>
      <c r="F409" s="382">
        <v>0</v>
      </c>
      <c r="G409" s="323">
        <v>0</v>
      </c>
      <c r="H409" s="323">
        <v>0</v>
      </c>
      <c r="I409" s="323">
        <v>1.9861111111111109</v>
      </c>
      <c r="J409" s="464">
        <v>0.72222222222222221</v>
      </c>
      <c r="K409" s="323">
        <v>2.0868055555555558</v>
      </c>
      <c r="L409" s="323">
        <v>2.5541666666666667</v>
      </c>
      <c r="M409" s="323">
        <v>2</v>
      </c>
      <c r="N409" s="418">
        <f t="shared" si="297"/>
        <v>13.693055555555556</v>
      </c>
      <c r="O409" s="418">
        <f t="shared" si="298"/>
        <v>1.1410879629629631</v>
      </c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s="9" customFormat="1" ht="15.75">
      <c r="A410" s="37" t="s">
        <v>659</v>
      </c>
      <c r="B410" s="323">
        <v>1.9756944444444444</v>
      </c>
      <c r="C410" s="323">
        <v>2.6145833333333335</v>
      </c>
      <c r="D410" s="323">
        <v>1.3715277777777777</v>
      </c>
      <c r="E410" s="323">
        <v>0.25347222222222221</v>
      </c>
      <c r="F410" s="382">
        <v>0.54861111111111105</v>
      </c>
      <c r="G410" s="323">
        <v>2.125</v>
      </c>
      <c r="H410" s="323">
        <v>1.2604166666666667</v>
      </c>
      <c r="I410" s="323">
        <v>1.3819444444444444</v>
      </c>
      <c r="J410" s="464">
        <v>2.2222222222222223</v>
      </c>
      <c r="K410" s="323">
        <v>1.9166666666666667</v>
      </c>
      <c r="L410" s="323">
        <v>1.8993055555555556</v>
      </c>
      <c r="M410" s="323">
        <v>2.7375000000000003</v>
      </c>
      <c r="N410" s="418">
        <f t="shared" si="297"/>
        <v>20.306944444444444</v>
      </c>
      <c r="O410" s="418">
        <f t="shared" si="298"/>
        <v>1.6922453703703704</v>
      </c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s="9" customFormat="1" ht="15.75">
      <c r="A411" s="9" t="s">
        <v>673</v>
      </c>
      <c r="B411" s="323">
        <v>0.29166666666666669</v>
      </c>
      <c r="C411" s="323">
        <v>0</v>
      </c>
      <c r="D411" s="323">
        <v>3.4722222222222224E-2</v>
      </c>
      <c r="E411" s="323">
        <v>0</v>
      </c>
      <c r="F411" s="382">
        <v>0</v>
      </c>
      <c r="G411" s="323">
        <v>0</v>
      </c>
      <c r="H411" s="323">
        <v>0</v>
      </c>
      <c r="I411" s="323">
        <v>3.125E-2</v>
      </c>
      <c r="J411" s="464">
        <v>5.2083333333333336E-2</v>
      </c>
      <c r="K411" s="323">
        <v>0</v>
      </c>
      <c r="L411" s="323">
        <v>0.11458333333333333</v>
      </c>
      <c r="M411" s="323">
        <v>0.15972222222222224</v>
      </c>
      <c r="N411" s="418">
        <f t="shared" si="297"/>
        <v>0.68402777777777779</v>
      </c>
      <c r="O411" s="418">
        <f t="shared" si="298"/>
        <v>5.7002314814814818E-2</v>
      </c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s="9" customFormat="1" ht="15.75">
      <c r="A412" s="37" t="s">
        <v>101</v>
      </c>
      <c r="B412" s="323">
        <v>1.2569444444444444</v>
      </c>
      <c r="C412" s="323">
        <v>0.18055555555555555</v>
      </c>
      <c r="D412" s="323">
        <v>0.55902777777777779</v>
      </c>
      <c r="E412" s="323">
        <v>1.3402777777777777</v>
      </c>
      <c r="F412" s="323">
        <v>1.4340277777777777</v>
      </c>
      <c r="G412" s="323">
        <v>0.96875</v>
      </c>
      <c r="H412" s="323">
        <v>0.85416666666666663</v>
      </c>
      <c r="I412" s="323">
        <v>0.53819444444444442</v>
      </c>
      <c r="J412" s="464">
        <v>0.72569444444444453</v>
      </c>
      <c r="K412" s="323">
        <v>2.4305555555555556E-2</v>
      </c>
      <c r="L412" s="323">
        <v>0</v>
      </c>
      <c r="M412" s="323">
        <v>0</v>
      </c>
      <c r="N412" s="418">
        <f t="shared" si="297"/>
        <v>7.8819444444444446</v>
      </c>
      <c r="O412" s="418">
        <f t="shared" si="298"/>
        <v>0.65682870370370372</v>
      </c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s="9" customFormat="1" ht="15.75">
      <c r="A413" s="37" t="s">
        <v>102</v>
      </c>
      <c r="B413" s="323">
        <v>0.81111111111111101</v>
      </c>
      <c r="C413" s="323">
        <v>0.3263888888888889</v>
      </c>
      <c r="D413" s="323">
        <v>0.15277777777777776</v>
      </c>
      <c r="E413" s="323">
        <v>9.375E-2</v>
      </c>
      <c r="F413" s="382">
        <v>8.3333333333333329E-2</v>
      </c>
      <c r="G413" s="323">
        <v>0.15277777777777776</v>
      </c>
      <c r="H413" s="323">
        <v>0.11458333333333333</v>
      </c>
      <c r="I413" s="323">
        <v>0.33333333333333331</v>
      </c>
      <c r="J413" s="464">
        <v>0.2951388888888889</v>
      </c>
      <c r="K413" s="323">
        <v>0.82638888888888884</v>
      </c>
      <c r="L413" s="323">
        <v>0.94444444444444453</v>
      </c>
      <c r="M413" s="323">
        <v>0.97916666666666663</v>
      </c>
      <c r="N413" s="418">
        <f t="shared" si="297"/>
        <v>5.1131944444444439</v>
      </c>
      <c r="O413" s="418">
        <f t="shared" si="298"/>
        <v>0.42609953703703701</v>
      </c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s="9" customFormat="1" ht="15.75">
      <c r="A414" s="70" t="s">
        <v>22</v>
      </c>
      <c r="B414" s="323">
        <v>3.125E-2</v>
      </c>
      <c r="C414" s="323">
        <v>0</v>
      </c>
      <c r="D414" s="323">
        <v>6.9444444444444441E-3</v>
      </c>
      <c r="E414" s="323">
        <v>2.0833333333333332E-2</v>
      </c>
      <c r="F414" s="382">
        <v>2.4305555555555556E-2</v>
      </c>
      <c r="G414" s="323">
        <v>0</v>
      </c>
      <c r="H414" s="323">
        <v>2.0833333333333332E-2</v>
      </c>
      <c r="I414" s="323">
        <v>0</v>
      </c>
      <c r="J414" s="323">
        <v>0</v>
      </c>
      <c r="K414" s="323">
        <v>4.8611111111111112E-2</v>
      </c>
      <c r="L414" s="323">
        <v>0.69444444444444453</v>
      </c>
      <c r="M414" s="323">
        <v>0.51388888888888895</v>
      </c>
      <c r="N414" s="418">
        <f t="shared" si="297"/>
        <v>1.3611111111111112</v>
      </c>
      <c r="O414" s="418">
        <f t="shared" si="298"/>
        <v>0.11342592592592593</v>
      </c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s="9" customFormat="1" ht="15.75">
      <c r="A415" s="73" t="s">
        <v>21</v>
      </c>
      <c r="B415" s="417">
        <f t="shared" ref="B415:L415" si="299">SUM(B403:B414)</f>
        <v>16.179166666666667</v>
      </c>
      <c r="C415" s="417">
        <f t="shared" si="299"/>
        <v>9.8472222222222232</v>
      </c>
      <c r="D415" s="417">
        <f t="shared" si="299"/>
        <v>10.538194444444445</v>
      </c>
      <c r="E415" s="417">
        <f t="shared" si="299"/>
        <v>3.2465277777777781</v>
      </c>
      <c r="F415" s="417">
        <f t="shared" si="299"/>
        <v>4.5694444444444438</v>
      </c>
      <c r="G415" s="417">
        <f t="shared" si="299"/>
        <v>6.854166666666667</v>
      </c>
      <c r="H415" s="417">
        <f t="shared" si="299"/>
        <v>7.9131944444444446</v>
      </c>
      <c r="I415" s="417">
        <f t="shared" si="299"/>
        <v>12.045138888888889</v>
      </c>
      <c r="J415" s="417">
        <f t="shared" si="299"/>
        <v>9.5729166666666679</v>
      </c>
      <c r="K415" s="417">
        <f t="shared" si="299"/>
        <v>10.451388888888888</v>
      </c>
      <c r="L415" s="417">
        <f t="shared" si="299"/>
        <v>13.108333333333334</v>
      </c>
      <c r="M415" s="417">
        <f t="shared" ref="M415" si="300">SUM(M403:M414)</f>
        <v>13.938194444444445</v>
      </c>
      <c r="N415" s="417">
        <f t="shared" si="297"/>
        <v>118.26388888888889</v>
      </c>
      <c r="O415" s="417">
        <f t="shared" ref="O415" si="301">SUM(O403:O414)</f>
        <v>9.8553240740740762</v>
      </c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s="386" customFormat="1" ht="15.75">
      <c r="A416" s="412"/>
      <c r="B416" s="413"/>
      <c r="C416" s="413"/>
      <c r="D416" s="413"/>
      <c r="E416" s="413"/>
      <c r="F416" s="413"/>
      <c r="G416" s="413"/>
      <c r="H416" s="413"/>
      <c r="I416" s="413"/>
      <c r="J416" s="413"/>
      <c r="K416" s="413"/>
      <c r="L416" s="413"/>
      <c r="M416" s="413"/>
      <c r="N416" s="414"/>
      <c r="O416" s="415"/>
      <c r="P416" s="385"/>
      <c r="Q416" s="385"/>
      <c r="R416" s="385"/>
      <c r="S416" s="385"/>
      <c r="T416" s="385"/>
      <c r="U416" s="385"/>
      <c r="V416" s="385"/>
      <c r="W416" s="385"/>
      <c r="X416" s="385"/>
      <c r="Y416" s="385"/>
      <c r="Z416" s="385"/>
    </row>
    <row r="417" spans="1:26" s="9" customFormat="1" ht="15.75">
      <c r="A417" s="381" t="s">
        <v>733</v>
      </c>
      <c r="B417" s="372">
        <v>4</v>
      </c>
      <c r="C417" s="372">
        <v>3</v>
      </c>
      <c r="D417" s="372">
        <v>0</v>
      </c>
      <c r="E417" s="372">
        <v>0</v>
      </c>
      <c r="F417" s="372">
        <v>3</v>
      </c>
      <c r="G417" s="372">
        <v>2</v>
      </c>
      <c r="H417" s="372">
        <v>0</v>
      </c>
      <c r="I417" s="372">
        <v>8</v>
      </c>
      <c r="J417" s="372">
        <v>5</v>
      </c>
      <c r="K417" s="372">
        <v>5</v>
      </c>
      <c r="L417" s="372">
        <v>5</v>
      </c>
      <c r="M417" s="372">
        <v>6</v>
      </c>
      <c r="N417" s="373">
        <f>SUM(B417:M417)</f>
        <v>41</v>
      </c>
      <c r="O417" s="374">
        <f>IF(N417=0,0,AVERAGE(B417:M417))</f>
        <v>3.4166666666666665</v>
      </c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s="9" customFormat="1" ht="15.75">
      <c r="A418" s="412"/>
      <c r="B418" s="413"/>
      <c r="C418" s="413"/>
      <c r="D418" s="413"/>
      <c r="E418" s="413"/>
      <c r="F418" s="413"/>
      <c r="G418" s="413"/>
      <c r="H418" s="413"/>
      <c r="I418" s="413"/>
      <c r="J418" s="413"/>
      <c r="K418" s="413"/>
      <c r="L418" s="413"/>
      <c r="M418" s="413"/>
      <c r="N418" s="414"/>
      <c r="O418" s="415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s="9" customFormat="1" ht="15.75">
      <c r="A419" s="381" t="s">
        <v>734</v>
      </c>
      <c r="B419" s="372">
        <v>13</v>
      </c>
      <c r="C419" s="372">
        <v>11</v>
      </c>
      <c r="D419" s="372">
        <v>0</v>
      </c>
      <c r="E419" s="372">
        <v>2</v>
      </c>
      <c r="F419" s="372">
        <v>4</v>
      </c>
      <c r="G419" s="372">
        <v>3</v>
      </c>
      <c r="H419" s="372">
        <v>6</v>
      </c>
      <c r="I419" s="372">
        <v>14</v>
      </c>
      <c r="J419" s="372">
        <v>19</v>
      </c>
      <c r="K419" s="372">
        <v>20</v>
      </c>
      <c r="L419" s="372">
        <v>25</v>
      </c>
      <c r="M419" s="372">
        <v>13</v>
      </c>
      <c r="N419" s="373">
        <f>SUM(B419:M419)</f>
        <v>130</v>
      </c>
      <c r="O419" s="374">
        <f>IF(N419=0,0,AVERAGE(B419:M419))</f>
        <v>10.833333333333334</v>
      </c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s="9" customFormat="1" ht="15.75">
      <c r="A420" s="412"/>
      <c r="B420" s="413"/>
      <c r="C420" s="413"/>
      <c r="D420" s="413"/>
      <c r="E420" s="413"/>
      <c r="F420" s="413"/>
      <c r="G420" s="413"/>
      <c r="H420" s="413"/>
      <c r="I420" s="413"/>
      <c r="J420" s="413"/>
      <c r="K420" s="413"/>
      <c r="L420" s="413"/>
      <c r="M420" s="413"/>
      <c r="N420" s="414"/>
      <c r="O420" s="415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s="9" customFormat="1" ht="15.75">
      <c r="A421" s="420" t="s">
        <v>743</v>
      </c>
      <c r="B421" s="453"/>
      <c r="C421" s="453"/>
      <c r="D421" s="453"/>
      <c r="E421" s="453"/>
      <c r="F421" s="453"/>
      <c r="G421" s="453"/>
      <c r="H421" s="453"/>
      <c r="I421" s="453"/>
      <c r="J421" s="453"/>
      <c r="K421" s="453"/>
      <c r="L421" s="453"/>
      <c r="M421" s="453"/>
      <c r="N421" s="453"/>
      <c r="O421" s="454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s="9" customFormat="1" ht="30">
      <c r="A422" s="37" t="s">
        <v>735</v>
      </c>
      <c r="B422" s="387">
        <v>1</v>
      </c>
      <c r="C422" s="387">
        <v>0</v>
      </c>
      <c r="D422" s="387">
        <v>2</v>
      </c>
      <c r="E422" s="387">
        <v>6</v>
      </c>
      <c r="F422" s="387">
        <v>6</v>
      </c>
      <c r="G422" s="387">
        <v>3</v>
      </c>
      <c r="H422" s="387">
        <v>2</v>
      </c>
      <c r="I422" s="387">
        <v>2</v>
      </c>
      <c r="J422" s="465">
        <v>0</v>
      </c>
      <c r="K422" s="387">
        <v>0</v>
      </c>
      <c r="L422" s="387">
        <v>0</v>
      </c>
      <c r="M422" s="387">
        <v>0</v>
      </c>
      <c r="N422" s="150">
        <f t="shared" ref="N422:N424" si="302">SUM(B422:M422)</f>
        <v>22</v>
      </c>
      <c r="O422" s="22">
        <f t="shared" ref="O422:O424" si="303">IF(N422=0,0,AVERAGE(B422:M422))</f>
        <v>1.8333333333333333</v>
      </c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s="9" customFormat="1" ht="15.75">
      <c r="A423" s="37" t="s">
        <v>854</v>
      </c>
      <c r="B423" s="387">
        <v>0</v>
      </c>
      <c r="C423" s="387">
        <v>0</v>
      </c>
      <c r="D423" s="387">
        <v>1</v>
      </c>
      <c r="E423" s="387">
        <v>0</v>
      </c>
      <c r="F423" s="387">
        <v>0</v>
      </c>
      <c r="G423" s="387">
        <v>0</v>
      </c>
      <c r="H423" s="387">
        <v>1</v>
      </c>
      <c r="I423" s="387">
        <v>0</v>
      </c>
      <c r="J423" s="387">
        <v>0</v>
      </c>
      <c r="K423" s="387">
        <v>0</v>
      </c>
      <c r="L423" s="387">
        <v>0</v>
      </c>
      <c r="M423" s="387">
        <v>0</v>
      </c>
      <c r="N423" s="150">
        <f t="shared" ref="N423" si="304">SUM(B423:M423)</f>
        <v>2</v>
      </c>
      <c r="O423" s="22">
        <f t="shared" ref="O423" si="305">IF(N423=0,0,AVERAGE(B423:M423))</f>
        <v>0.16666666666666666</v>
      </c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s="9" customFormat="1" ht="30">
      <c r="A424" s="37" t="s">
        <v>823</v>
      </c>
      <c r="B424" s="387">
        <v>1</v>
      </c>
      <c r="C424" s="387">
        <v>0</v>
      </c>
      <c r="D424" s="387">
        <v>0</v>
      </c>
      <c r="E424" s="387">
        <v>0</v>
      </c>
      <c r="F424" s="387">
        <v>0</v>
      </c>
      <c r="G424" s="387">
        <v>0</v>
      </c>
      <c r="H424" s="387">
        <v>0</v>
      </c>
      <c r="I424" s="387">
        <v>0</v>
      </c>
      <c r="J424" s="387">
        <v>0</v>
      </c>
      <c r="K424" s="387">
        <v>0</v>
      </c>
      <c r="L424" s="387">
        <v>0</v>
      </c>
      <c r="M424" s="387">
        <v>0</v>
      </c>
      <c r="N424" s="150">
        <f t="shared" si="302"/>
        <v>1</v>
      </c>
      <c r="O424" s="22">
        <f t="shared" si="303"/>
        <v>8.3333333333333329E-2</v>
      </c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s="9" customFormat="1" ht="15.75">
      <c r="A425" s="37" t="s">
        <v>736</v>
      </c>
      <c r="B425" s="387">
        <v>1</v>
      </c>
      <c r="C425" s="387">
        <v>1</v>
      </c>
      <c r="D425" s="387">
        <v>0</v>
      </c>
      <c r="E425" s="387">
        <v>0</v>
      </c>
      <c r="F425" s="387">
        <v>0</v>
      </c>
      <c r="G425" s="387">
        <v>2</v>
      </c>
      <c r="H425" s="387">
        <v>0</v>
      </c>
      <c r="I425" s="387">
        <v>0</v>
      </c>
      <c r="J425" s="387">
        <v>0</v>
      </c>
      <c r="K425" s="387">
        <v>0</v>
      </c>
      <c r="L425" s="387">
        <v>0</v>
      </c>
      <c r="M425" s="387">
        <v>0</v>
      </c>
      <c r="N425" s="150">
        <f t="shared" ref="N425:N431" si="306">SUM(B425:M425)</f>
        <v>4</v>
      </c>
      <c r="O425" s="22">
        <f t="shared" ref="O425:O431" si="307">IF(N425=0,0,AVERAGE(B425:M425))</f>
        <v>0.33333333333333331</v>
      </c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s="9" customFormat="1" ht="30">
      <c r="A426" s="37" t="s">
        <v>822</v>
      </c>
      <c r="B426" s="387">
        <v>1</v>
      </c>
      <c r="C426" s="387">
        <v>0</v>
      </c>
      <c r="D426" s="387">
        <v>0</v>
      </c>
      <c r="E426" s="387">
        <v>0</v>
      </c>
      <c r="F426" s="387">
        <v>0</v>
      </c>
      <c r="G426" s="387">
        <v>0</v>
      </c>
      <c r="H426" s="387">
        <v>0</v>
      </c>
      <c r="I426" s="387">
        <v>0</v>
      </c>
      <c r="J426" s="387">
        <v>0</v>
      </c>
      <c r="K426" s="387">
        <v>0</v>
      </c>
      <c r="L426" s="387">
        <v>0</v>
      </c>
      <c r="M426" s="387">
        <v>0</v>
      </c>
      <c r="N426" s="150">
        <f t="shared" si="306"/>
        <v>1</v>
      </c>
      <c r="O426" s="22">
        <f t="shared" si="307"/>
        <v>8.3333333333333329E-2</v>
      </c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s="9" customFormat="1" ht="30">
      <c r="A427" s="37" t="s">
        <v>824</v>
      </c>
      <c r="B427" s="387">
        <v>1</v>
      </c>
      <c r="C427" s="387">
        <v>0</v>
      </c>
      <c r="D427" s="387">
        <v>1</v>
      </c>
      <c r="E427" s="387">
        <v>0</v>
      </c>
      <c r="F427" s="387">
        <v>0</v>
      </c>
      <c r="G427" s="387">
        <v>0</v>
      </c>
      <c r="H427" s="387">
        <v>0</v>
      </c>
      <c r="I427" s="387">
        <v>0</v>
      </c>
      <c r="J427" s="387">
        <v>0</v>
      </c>
      <c r="K427" s="387">
        <v>0</v>
      </c>
      <c r="L427" s="387">
        <v>2</v>
      </c>
      <c r="M427" s="387">
        <v>1</v>
      </c>
      <c r="N427" s="150">
        <f t="shared" si="306"/>
        <v>5</v>
      </c>
      <c r="O427" s="22">
        <f t="shared" si="307"/>
        <v>0.41666666666666669</v>
      </c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s="9" customFormat="1" ht="15.75">
      <c r="A428" s="37" t="s">
        <v>820</v>
      </c>
      <c r="B428" s="387">
        <v>4</v>
      </c>
      <c r="C428" s="387">
        <v>2</v>
      </c>
      <c r="D428" s="387">
        <v>1</v>
      </c>
      <c r="E428" s="387">
        <v>1</v>
      </c>
      <c r="F428" s="387">
        <v>2</v>
      </c>
      <c r="G428" s="387">
        <v>2</v>
      </c>
      <c r="H428" s="387">
        <v>3</v>
      </c>
      <c r="I428" s="387">
        <v>4</v>
      </c>
      <c r="J428" s="387">
        <v>4</v>
      </c>
      <c r="K428" s="387">
        <v>4</v>
      </c>
      <c r="L428" s="387">
        <v>3</v>
      </c>
      <c r="M428" s="387">
        <v>5</v>
      </c>
      <c r="N428" s="150">
        <f t="shared" si="306"/>
        <v>35</v>
      </c>
      <c r="O428" s="22">
        <f t="shared" si="307"/>
        <v>2.9166666666666665</v>
      </c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s="9" customFormat="1" ht="15.75">
      <c r="A429" s="37" t="s">
        <v>821</v>
      </c>
      <c r="B429" s="387">
        <v>1</v>
      </c>
      <c r="C429" s="387">
        <v>0</v>
      </c>
      <c r="D429" s="387">
        <v>0</v>
      </c>
      <c r="E429" s="387">
        <v>0</v>
      </c>
      <c r="F429" s="387">
        <v>0</v>
      </c>
      <c r="G429" s="387">
        <v>0</v>
      </c>
      <c r="H429" s="387">
        <v>0</v>
      </c>
      <c r="I429" s="387">
        <v>0</v>
      </c>
      <c r="J429" s="387">
        <v>0</v>
      </c>
      <c r="K429" s="387">
        <v>0</v>
      </c>
      <c r="L429" s="387">
        <v>0</v>
      </c>
      <c r="M429" s="387">
        <v>0</v>
      </c>
      <c r="N429" s="150">
        <f t="shared" si="306"/>
        <v>1</v>
      </c>
      <c r="O429" s="22">
        <f t="shared" si="307"/>
        <v>8.3333333333333329E-2</v>
      </c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s="9" customFormat="1" ht="15.75">
      <c r="A430" s="40" t="s">
        <v>737</v>
      </c>
      <c r="B430" s="387">
        <v>1</v>
      </c>
      <c r="C430" s="387">
        <v>0</v>
      </c>
      <c r="D430" s="387">
        <v>0</v>
      </c>
      <c r="E430" s="387">
        <v>2</v>
      </c>
      <c r="F430" s="387">
        <v>0</v>
      </c>
      <c r="G430" s="387">
        <v>1</v>
      </c>
      <c r="H430" s="387">
        <v>0</v>
      </c>
      <c r="I430" s="387">
        <v>0</v>
      </c>
      <c r="J430" s="387">
        <v>0</v>
      </c>
      <c r="K430" s="387">
        <v>0</v>
      </c>
      <c r="L430" s="387">
        <v>0</v>
      </c>
      <c r="M430" s="387">
        <v>0</v>
      </c>
      <c r="N430" s="150">
        <f t="shared" si="306"/>
        <v>4</v>
      </c>
      <c r="O430" s="22">
        <f t="shared" si="307"/>
        <v>0.33333333333333331</v>
      </c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s="9" customFormat="1" ht="15.75">
      <c r="A431" s="70" t="s">
        <v>22</v>
      </c>
      <c r="B431" s="387">
        <v>0</v>
      </c>
      <c r="C431" s="387">
        <v>0</v>
      </c>
      <c r="D431" s="387">
        <v>0</v>
      </c>
      <c r="E431" s="387">
        <v>3</v>
      </c>
      <c r="F431" s="387">
        <v>4</v>
      </c>
      <c r="G431" s="387">
        <v>8</v>
      </c>
      <c r="H431" s="387">
        <v>8</v>
      </c>
      <c r="I431" s="387">
        <v>9</v>
      </c>
      <c r="J431" s="387">
        <v>7</v>
      </c>
      <c r="K431" s="387">
        <v>1</v>
      </c>
      <c r="L431" s="387">
        <v>1</v>
      </c>
      <c r="M431" s="387">
        <v>3</v>
      </c>
      <c r="N431" s="162">
        <f t="shared" si="306"/>
        <v>44</v>
      </c>
      <c r="O431" s="72">
        <f t="shared" si="307"/>
        <v>3.6666666666666665</v>
      </c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s="9" customFormat="1" ht="15.75">
      <c r="A432" s="73" t="s">
        <v>21</v>
      </c>
      <c r="B432" s="47">
        <f t="shared" ref="B432:M432" si="308">SUM(B422:B431)</f>
        <v>11</v>
      </c>
      <c r="C432" s="47">
        <f t="shared" si="308"/>
        <v>3</v>
      </c>
      <c r="D432" s="47">
        <f t="shared" si="308"/>
        <v>5</v>
      </c>
      <c r="E432" s="47">
        <f t="shared" si="308"/>
        <v>12</v>
      </c>
      <c r="F432" s="47">
        <f t="shared" si="308"/>
        <v>12</v>
      </c>
      <c r="G432" s="47">
        <f t="shared" si="308"/>
        <v>16</v>
      </c>
      <c r="H432" s="47">
        <f t="shared" si="308"/>
        <v>14</v>
      </c>
      <c r="I432" s="47">
        <f t="shared" si="308"/>
        <v>15</v>
      </c>
      <c r="J432" s="47">
        <f t="shared" si="308"/>
        <v>11</v>
      </c>
      <c r="K432" s="47">
        <f t="shared" si="308"/>
        <v>5</v>
      </c>
      <c r="L432" s="47">
        <f t="shared" si="308"/>
        <v>6</v>
      </c>
      <c r="M432" s="47">
        <f t="shared" si="308"/>
        <v>9</v>
      </c>
      <c r="N432" s="156">
        <f>SUM(N422:N431)</f>
        <v>119</v>
      </c>
      <c r="O432" s="48">
        <f>SUM(O422:O431)</f>
        <v>9.9166666666666661</v>
      </c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s="9" customFormat="1" ht="15.75">
      <c r="A433" s="383"/>
      <c r="B433" s="384"/>
      <c r="C433" s="384"/>
      <c r="D433" s="384"/>
      <c r="E433" s="384"/>
      <c r="F433" s="384"/>
      <c r="G433" s="384"/>
      <c r="H433" s="384"/>
      <c r="I433" s="384"/>
      <c r="J433" s="384"/>
      <c r="K433" s="384"/>
      <c r="L433" s="384"/>
      <c r="M433" s="384"/>
      <c r="N433" s="177"/>
      <c r="O433" s="139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s="9" customFormat="1" ht="15.75">
      <c r="A434" s="183" t="s">
        <v>103</v>
      </c>
      <c r="B434" s="194"/>
      <c r="C434" s="194"/>
      <c r="D434" s="194"/>
      <c r="E434" s="194"/>
      <c r="F434" s="194"/>
      <c r="G434" s="194"/>
      <c r="H434" s="194"/>
      <c r="I434" s="194"/>
      <c r="J434" s="194"/>
      <c r="K434" s="194"/>
      <c r="L434" s="194"/>
      <c r="M434" s="194"/>
      <c r="N434" s="194"/>
      <c r="O434" s="274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s="9" customFormat="1" ht="15.75">
      <c r="A435" s="77" t="s">
        <v>104</v>
      </c>
      <c r="B435" s="78"/>
      <c r="C435" s="78"/>
      <c r="D435" s="78"/>
      <c r="E435" s="78"/>
      <c r="F435" s="78"/>
      <c r="G435" s="78"/>
      <c r="H435" s="78"/>
      <c r="I435" s="78"/>
      <c r="J435" s="78"/>
      <c r="K435" s="78"/>
      <c r="L435" s="78"/>
      <c r="M435" s="78"/>
      <c r="N435" s="164"/>
      <c r="O435" s="275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s="9" customFormat="1" ht="15.75">
      <c r="A436" s="37" t="s">
        <v>105</v>
      </c>
      <c r="B436" s="21">
        <v>0</v>
      </c>
      <c r="C436" s="21">
        <v>0</v>
      </c>
      <c r="D436" s="21">
        <v>0</v>
      </c>
      <c r="E436" s="21">
        <v>0</v>
      </c>
      <c r="F436" s="21">
        <v>0</v>
      </c>
      <c r="G436" s="21">
        <v>0</v>
      </c>
      <c r="H436" s="21">
        <v>0</v>
      </c>
      <c r="I436" s="21">
        <v>0</v>
      </c>
      <c r="J436" s="87">
        <v>0</v>
      </c>
      <c r="K436" s="21">
        <v>0</v>
      </c>
      <c r="L436" s="21">
        <v>0</v>
      </c>
      <c r="M436" s="21">
        <v>0</v>
      </c>
      <c r="N436" s="150">
        <f t="shared" ref="N436:N444" si="309">SUM(B436:M436)</f>
        <v>0</v>
      </c>
      <c r="O436" s="22">
        <f t="shared" ref="O436:O444" si="310">IF(N436=0,0,AVERAGE(B436:M436))</f>
        <v>0</v>
      </c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s="9" customFormat="1" ht="15.75">
      <c r="A437" s="37" t="s">
        <v>106</v>
      </c>
      <c r="B437" s="21">
        <v>43</v>
      </c>
      <c r="C437" s="21">
        <v>47</v>
      </c>
      <c r="D437" s="21">
        <v>40</v>
      </c>
      <c r="E437" s="21">
        <v>0</v>
      </c>
      <c r="F437" s="21">
        <v>2</v>
      </c>
      <c r="G437" s="21">
        <v>6</v>
      </c>
      <c r="H437" s="21">
        <v>5</v>
      </c>
      <c r="I437" s="21">
        <v>35</v>
      </c>
      <c r="J437" s="87">
        <v>40</v>
      </c>
      <c r="K437" s="21">
        <v>2</v>
      </c>
      <c r="L437" s="21">
        <v>14</v>
      </c>
      <c r="M437" s="21">
        <v>7</v>
      </c>
      <c r="N437" s="150">
        <f t="shared" si="309"/>
        <v>241</v>
      </c>
      <c r="O437" s="22">
        <f t="shared" si="310"/>
        <v>20.083333333333332</v>
      </c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s="9" customFormat="1" ht="15.75">
      <c r="A438" s="37" t="s">
        <v>47</v>
      </c>
      <c r="B438" s="21">
        <v>53</v>
      </c>
      <c r="C438" s="21">
        <v>49</v>
      </c>
      <c r="D438" s="21">
        <v>58</v>
      </c>
      <c r="E438" s="21">
        <v>18</v>
      </c>
      <c r="F438" s="21">
        <v>9</v>
      </c>
      <c r="G438" s="21">
        <v>17</v>
      </c>
      <c r="H438" s="21">
        <v>28</v>
      </c>
      <c r="I438" s="21">
        <v>53</v>
      </c>
      <c r="J438" s="87">
        <v>47</v>
      </c>
      <c r="K438" s="21">
        <v>62</v>
      </c>
      <c r="L438" s="21">
        <v>73</v>
      </c>
      <c r="M438" s="21">
        <v>64</v>
      </c>
      <c r="N438" s="150">
        <f t="shared" si="309"/>
        <v>531</v>
      </c>
      <c r="O438" s="22">
        <f t="shared" si="310"/>
        <v>44.25</v>
      </c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s="9" customFormat="1" ht="15.75">
      <c r="A439" s="37" t="s">
        <v>107</v>
      </c>
      <c r="B439" s="21">
        <v>25</v>
      </c>
      <c r="C439" s="21">
        <v>20</v>
      </c>
      <c r="D439" s="21">
        <v>29</v>
      </c>
      <c r="E439" s="21">
        <v>6</v>
      </c>
      <c r="F439" s="21">
        <v>1</v>
      </c>
      <c r="G439" s="21">
        <v>11</v>
      </c>
      <c r="H439" s="21">
        <v>14</v>
      </c>
      <c r="I439" s="21">
        <v>23</v>
      </c>
      <c r="J439" s="21">
        <v>15</v>
      </c>
      <c r="K439" s="21">
        <v>3</v>
      </c>
      <c r="L439" s="21">
        <v>24</v>
      </c>
      <c r="M439" s="21">
        <v>39</v>
      </c>
      <c r="N439" s="150">
        <f t="shared" si="309"/>
        <v>210</v>
      </c>
      <c r="O439" s="22">
        <f t="shared" si="310"/>
        <v>17.5</v>
      </c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s="9" customFormat="1" ht="15.75">
      <c r="A440" s="37" t="s">
        <v>108</v>
      </c>
      <c r="B440" s="21">
        <v>40</v>
      </c>
      <c r="C440" s="21">
        <v>40</v>
      </c>
      <c r="D440" s="21">
        <v>48</v>
      </c>
      <c r="E440" s="21">
        <v>19</v>
      </c>
      <c r="F440" s="21">
        <v>22</v>
      </c>
      <c r="G440" s="21">
        <v>24</v>
      </c>
      <c r="H440" s="21">
        <v>23</v>
      </c>
      <c r="I440" s="21">
        <v>52</v>
      </c>
      <c r="J440" s="21">
        <v>40</v>
      </c>
      <c r="K440" s="21">
        <v>144</v>
      </c>
      <c r="L440" s="21">
        <v>88</v>
      </c>
      <c r="M440" s="21">
        <v>94</v>
      </c>
      <c r="N440" s="150">
        <f t="shared" si="309"/>
        <v>634</v>
      </c>
      <c r="O440" s="22">
        <f t="shared" si="310"/>
        <v>52.833333333333336</v>
      </c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s="9" customFormat="1" ht="15.75">
      <c r="A441" s="37" t="s">
        <v>109</v>
      </c>
      <c r="B441" s="21">
        <v>0</v>
      </c>
      <c r="C441" s="21">
        <v>0</v>
      </c>
      <c r="D441" s="21">
        <v>0</v>
      </c>
      <c r="E441" s="21">
        <v>0</v>
      </c>
      <c r="F441" s="21">
        <v>0</v>
      </c>
      <c r="G441" s="21">
        <v>0</v>
      </c>
      <c r="H441" s="21">
        <v>0</v>
      </c>
      <c r="I441" s="21">
        <v>0</v>
      </c>
      <c r="J441" s="21">
        <v>0</v>
      </c>
      <c r="K441" s="21">
        <v>0</v>
      </c>
      <c r="L441" s="21">
        <v>0</v>
      </c>
      <c r="M441" s="21">
        <v>0</v>
      </c>
      <c r="N441" s="150">
        <f t="shared" si="309"/>
        <v>0</v>
      </c>
      <c r="O441" s="22">
        <f t="shared" si="310"/>
        <v>0</v>
      </c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s="9" customFormat="1" ht="15.75">
      <c r="A442" s="37" t="s">
        <v>110</v>
      </c>
      <c r="B442" s="21">
        <v>41</v>
      </c>
      <c r="C442" s="21">
        <v>40</v>
      </c>
      <c r="D442" s="21">
        <v>46</v>
      </c>
      <c r="E442" s="21">
        <v>19</v>
      </c>
      <c r="F442" s="21">
        <v>17</v>
      </c>
      <c r="G442" s="21">
        <v>18</v>
      </c>
      <c r="H442" s="21">
        <v>26</v>
      </c>
      <c r="I442" s="21">
        <v>47</v>
      </c>
      <c r="J442" s="21">
        <v>38</v>
      </c>
      <c r="K442" s="21">
        <v>143</v>
      </c>
      <c r="L442" s="21">
        <v>83</v>
      </c>
      <c r="M442" s="21">
        <v>78</v>
      </c>
      <c r="N442" s="150">
        <f t="shared" si="309"/>
        <v>596</v>
      </c>
      <c r="O442" s="22">
        <f t="shared" si="310"/>
        <v>49.666666666666664</v>
      </c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s="9" customFormat="1" ht="15.75">
      <c r="A443" s="37" t="s">
        <v>111</v>
      </c>
      <c r="B443" s="21">
        <v>0</v>
      </c>
      <c r="C443" s="21">
        <v>0</v>
      </c>
      <c r="D443" s="21">
        <v>0</v>
      </c>
      <c r="E443" s="21">
        <v>0</v>
      </c>
      <c r="F443" s="21">
        <v>0</v>
      </c>
      <c r="G443" s="21">
        <v>0</v>
      </c>
      <c r="H443" s="21">
        <v>0</v>
      </c>
      <c r="I443" s="21">
        <v>0</v>
      </c>
      <c r="J443" s="21">
        <v>0</v>
      </c>
      <c r="K443" s="21">
        <v>0</v>
      </c>
      <c r="L443" s="21">
        <v>0</v>
      </c>
      <c r="M443" s="21">
        <v>0</v>
      </c>
      <c r="N443" s="150">
        <f t="shared" si="309"/>
        <v>0</v>
      </c>
      <c r="O443" s="22">
        <f t="shared" si="310"/>
        <v>0</v>
      </c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s="9" customFormat="1" ht="15.75">
      <c r="A444" s="62" t="s">
        <v>21</v>
      </c>
      <c r="B444" s="24">
        <f t="shared" ref="B444:C444" si="311">SUM(B436:B443)</f>
        <v>202</v>
      </c>
      <c r="C444" s="24">
        <f t="shared" si="311"/>
        <v>196</v>
      </c>
      <c r="D444" s="24">
        <f t="shared" ref="D444:E444" si="312">SUM(D436:D443)</f>
        <v>221</v>
      </c>
      <c r="E444" s="24">
        <f t="shared" si="312"/>
        <v>62</v>
      </c>
      <c r="F444" s="24">
        <f t="shared" ref="F444:G444" si="313">SUM(F436:F443)</f>
        <v>51</v>
      </c>
      <c r="G444" s="24">
        <f t="shared" si="313"/>
        <v>76</v>
      </c>
      <c r="H444" s="24">
        <f t="shared" ref="H444:I444" si="314">SUM(H436:H443)</f>
        <v>96</v>
      </c>
      <c r="I444" s="24">
        <f t="shared" si="314"/>
        <v>210</v>
      </c>
      <c r="J444" s="24">
        <f t="shared" ref="J444:K444" si="315">SUM(J436:J443)</f>
        <v>180</v>
      </c>
      <c r="K444" s="24">
        <f t="shared" si="315"/>
        <v>354</v>
      </c>
      <c r="L444" s="24">
        <f t="shared" ref="L444:M444" si="316">SUM(L436:L443)</f>
        <v>282</v>
      </c>
      <c r="M444" s="24">
        <f t="shared" si="316"/>
        <v>282</v>
      </c>
      <c r="N444" s="144">
        <f t="shared" si="309"/>
        <v>2212</v>
      </c>
      <c r="O444" s="25">
        <f t="shared" si="310"/>
        <v>184.33333333333334</v>
      </c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s="9" customFormat="1" ht="15.75">
      <c r="A445" s="62" t="s">
        <v>112</v>
      </c>
      <c r="B445" s="25">
        <f t="shared" ref="B445:G445" si="317">IF(B444=0,"",B444/B1870)</f>
        <v>6.5161290322580649</v>
      </c>
      <c r="C445" s="25">
        <f t="shared" si="317"/>
        <v>7</v>
      </c>
      <c r="D445" s="25">
        <f t="shared" si="317"/>
        <v>7.129032258064516</v>
      </c>
      <c r="E445" s="25">
        <f t="shared" si="317"/>
        <v>2.0666666666666669</v>
      </c>
      <c r="F445" s="25">
        <f t="shared" si="317"/>
        <v>1.6451612903225807</v>
      </c>
      <c r="G445" s="25">
        <f t="shared" si="317"/>
        <v>2.5333333333333332</v>
      </c>
      <c r="H445" s="25">
        <f t="shared" ref="H445:I445" si="318">IF(H444=0,"",H444/H1870)</f>
        <v>3.096774193548387</v>
      </c>
      <c r="I445" s="25">
        <f t="shared" si="318"/>
        <v>6.774193548387097</v>
      </c>
      <c r="J445" s="25">
        <f t="shared" ref="J445:K445" si="319">IF(J444=0,"",J444/J1870)</f>
        <v>6</v>
      </c>
      <c r="K445" s="25">
        <f t="shared" si="319"/>
        <v>11.419354838709678</v>
      </c>
      <c r="L445" s="25">
        <f t="shared" ref="L445:M445" si="320">IF(L444=0,"",L444/L1870)</f>
        <v>9.4</v>
      </c>
      <c r="M445" s="25">
        <f t="shared" si="320"/>
        <v>9.0967741935483879</v>
      </c>
      <c r="N445" s="144">
        <f>SUM(B445:M445)</f>
        <v>72.677419354838719</v>
      </c>
      <c r="O445" s="25">
        <f>IF(N445=0,0,AVERAGE(B445:M445))</f>
        <v>6.0564516129032269</v>
      </c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s="9" customFormat="1" ht="15.75">
      <c r="A446" s="26"/>
      <c r="B446" s="27"/>
      <c r="C446" s="27"/>
      <c r="D446" s="27"/>
      <c r="E446" s="28"/>
      <c r="F446" s="28"/>
      <c r="G446" s="28"/>
      <c r="H446" s="28"/>
      <c r="I446" s="28"/>
      <c r="J446" s="28"/>
      <c r="K446" s="28"/>
      <c r="L446" s="28"/>
      <c r="M446" s="28"/>
      <c r="N446" s="151"/>
      <c r="O446" s="57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s="9" customFormat="1" ht="15.75">
      <c r="A447" s="79" t="s">
        <v>113</v>
      </c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149"/>
      <c r="O447" s="19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s="9" customFormat="1" ht="15.75">
      <c r="A448" s="40" t="s">
        <v>18</v>
      </c>
      <c r="B448" s="21">
        <v>132</v>
      </c>
      <c r="C448" s="21">
        <v>149</v>
      </c>
      <c r="D448" s="21">
        <v>169</v>
      </c>
      <c r="E448" s="21">
        <v>33</v>
      </c>
      <c r="F448" s="21">
        <v>8</v>
      </c>
      <c r="G448" s="21">
        <v>28</v>
      </c>
      <c r="H448" s="21">
        <v>63</v>
      </c>
      <c r="I448" s="21">
        <v>144</v>
      </c>
      <c r="J448" s="87">
        <v>122</v>
      </c>
      <c r="K448" s="21">
        <v>115</v>
      </c>
      <c r="L448" s="21">
        <v>258</v>
      </c>
      <c r="M448" s="21">
        <v>269</v>
      </c>
      <c r="N448" s="150">
        <f>SUM(B448:M448)</f>
        <v>1490</v>
      </c>
      <c r="O448" s="22">
        <f>IF(N448=0,0,AVERAGE(B448:M448))</f>
        <v>124.16666666666667</v>
      </c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s="9" customFormat="1" ht="15.75">
      <c r="A449" s="40" t="s">
        <v>19</v>
      </c>
      <c r="B449" s="21">
        <v>27</v>
      </c>
      <c r="C449" s="21">
        <v>6</v>
      </c>
      <c r="D449" s="21">
        <v>12</v>
      </c>
      <c r="E449" s="21">
        <v>27</v>
      </c>
      <c r="F449" s="21">
        <v>42</v>
      </c>
      <c r="G449" s="21">
        <v>46</v>
      </c>
      <c r="H449" s="21">
        <v>30</v>
      </c>
      <c r="I449" s="21">
        <v>32</v>
      </c>
      <c r="J449" s="87">
        <v>21</v>
      </c>
      <c r="K449" s="21">
        <v>237</v>
      </c>
      <c r="L449" s="21">
        <v>11</v>
      </c>
      <c r="M449" s="21">
        <v>4</v>
      </c>
      <c r="N449" s="150">
        <f>SUM(B449:M449)</f>
        <v>495</v>
      </c>
      <c r="O449" s="22">
        <f>IF(N449=0,0,AVERAGE(B449:M449))</f>
        <v>41.25</v>
      </c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s="9" customFormat="1" ht="15.75">
      <c r="A450" s="40" t="s">
        <v>20</v>
      </c>
      <c r="B450" s="21">
        <v>3</v>
      </c>
      <c r="C450" s="21">
        <v>3</v>
      </c>
      <c r="D450" s="21">
        <v>3</v>
      </c>
      <c r="E450" s="21">
        <v>2</v>
      </c>
      <c r="F450" s="21">
        <v>1</v>
      </c>
      <c r="G450" s="21">
        <v>1</v>
      </c>
      <c r="H450" s="21">
        <v>3</v>
      </c>
      <c r="I450" s="21">
        <v>5</v>
      </c>
      <c r="J450" s="21">
        <v>2</v>
      </c>
      <c r="K450" s="21">
        <v>0</v>
      </c>
      <c r="L450" s="21">
        <v>1</v>
      </c>
      <c r="M450" s="21">
        <v>2</v>
      </c>
      <c r="N450" s="150">
        <f>SUM(B450:M450)</f>
        <v>26</v>
      </c>
      <c r="O450" s="22">
        <f>IF(N450=0,0,AVERAGE(B450:M450))</f>
        <v>2.1666666666666665</v>
      </c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s="9" customFormat="1" ht="15.75">
      <c r="A451" s="40" t="s">
        <v>114</v>
      </c>
      <c r="B451" s="21">
        <v>40</v>
      </c>
      <c r="C451" s="21">
        <v>38</v>
      </c>
      <c r="D451" s="21">
        <v>37</v>
      </c>
      <c r="E451" s="21">
        <v>0</v>
      </c>
      <c r="F451" s="21">
        <v>0</v>
      </c>
      <c r="G451" s="21">
        <v>1</v>
      </c>
      <c r="H451" s="21">
        <v>0</v>
      </c>
      <c r="I451" s="21">
        <v>29</v>
      </c>
      <c r="J451" s="21">
        <v>35</v>
      </c>
      <c r="K451" s="21">
        <v>2</v>
      </c>
      <c r="L451" s="21">
        <v>12</v>
      </c>
      <c r="M451" s="21">
        <v>7</v>
      </c>
      <c r="N451" s="150">
        <f>SUM(B451:M451)</f>
        <v>201</v>
      </c>
      <c r="O451" s="22">
        <f>IF(N451=0,0,AVERAGE(B451:M451))</f>
        <v>16.75</v>
      </c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s="9" customFormat="1" ht="15.75">
      <c r="A452" s="62" t="s">
        <v>21</v>
      </c>
      <c r="B452" s="24">
        <f t="shared" ref="B452:M452" si="321">SUM(B448:B451)</f>
        <v>202</v>
      </c>
      <c r="C452" s="24">
        <f t="shared" si="321"/>
        <v>196</v>
      </c>
      <c r="D452" s="24">
        <f t="shared" si="321"/>
        <v>221</v>
      </c>
      <c r="E452" s="24">
        <f t="shared" si="321"/>
        <v>62</v>
      </c>
      <c r="F452" s="24">
        <f t="shared" si="321"/>
        <v>51</v>
      </c>
      <c r="G452" s="24">
        <f t="shared" si="321"/>
        <v>76</v>
      </c>
      <c r="H452" s="24">
        <f t="shared" si="321"/>
        <v>96</v>
      </c>
      <c r="I452" s="24">
        <f t="shared" si="321"/>
        <v>210</v>
      </c>
      <c r="J452" s="24">
        <f t="shared" si="321"/>
        <v>180</v>
      </c>
      <c r="K452" s="24">
        <f t="shared" si="321"/>
        <v>354</v>
      </c>
      <c r="L452" s="24">
        <f t="shared" si="321"/>
        <v>282</v>
      </c>
      <c r="M452" s="24">
        <f t="shared" si="321"/>
        <v>282</v>
      </c>
      <c r="N452" s="144">
        <f>SUM(N448:N451)</f>
        <v>2212</v>
      </c>
      <c r="O452" s="25">
        <f>SUM(O448:O451)</f>
        <v>184.33333333333334</v>
      </c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s="9" customFormat="1">
      <c r="A453" s="74"/>
      <c r="B453" s="75"/>
      <c r="C453" s="75"/>
      <c r="D453" s="75"/>
      <c r="E453" s="75"/>
      <c r="F453" s="75"/>
      <c r="G453" s="75"/>
      <c r="H453" s="75"/>
      <c r="I453" s="75"/>
      <c r="J453" s="75"/>
      <c r="K453" s="75"/>
      <c r="L453" s="75"/>
      <c r="M453" s="75"/>
      <c r="N453" s="163"/>
      <c r="O453" s="76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s="9" customFormat="1" ht="15.75">
      <c r="A454" s="183" t="s">
        <v>376</v>
      </c>
      <c r="B454" s="198"/>
      <c r="C454" s="198"/>
      <c r="D454" s="198"/>
      <c r="E454" s="198"/>
      <c r="F454" s="198"/>
      <c r="G454" s="198"/>
      <c r="H454" s="198"/>
      <c r="I454" s="198"/>
      <c r="J454" s="198"/>
      <c r="K454" s="198"/>
      <c r="L454" s="198"/>
      <c r="M454" s="198"/>
      <c r="N454" s="185"/>
      <c r="O454" s="186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s="9" customFormat="1" ht="15.75">
      <c r="A455" s="195" t="s">
        <v>377</v>
      </c>
      <c r="B455" s="196"/>
      <c r="C455" s="196"/>
      <c r="D455" s="196"/>
      <c r="E455" s="196"/>
      <c r="F455" s="196"/>
      <c r="G455" s="196"/>
      <c r="H455" s="196"/>
      <c r="I455" s="196"/>
      <c r="J455" s="196"/>
      <c r="K455" s="196"/>
      <c r="L455" s="196"/>
      <c r="M455" s="196"/>
      <c r="N455" s="197"/>
      <c r="O455" s="276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s="9" customFormat="1" ht="15.75">
      <c r="A456" s="121" t="s">
        <v>378</v>
      </c>
      <c r="B456" s="39">
        <v>0</v>
      </c>
      <c r="C456" s="39">
        <v>0</v>
      </c>
      <c r="D456" s="39">
        <v>0</v>
      </c>
      <c r="E456" s="39">
        <v>0</v>
      </c>
      <c r="F456" s="39">
        <v>0</v>
      </c>
      <c r="G456" s="39">
        <v>0</v>
      </c>
      <c r="H456" s="39">
        <v>2</v>
      </c>
      <c r="I456" s="39">
        <v>0</v>
      </c>
      <c r="J456" s="466">
        <v>0</v>
      </c>
      <c r="K456" s="39">
        <v>0</v>
      </c>
      <c r="L456" s="39">
        <v>0</v>
      </c>
      <c r="M456" s="39">
        <v>0</v>
      </c>
      <c r="N456" s="174">
        <f t="shared" ref="N456:N461" si="322">SUM(B456:M456)</f>
        <v>2</v>
      </c>
      <c r="O456" s="122">
        <f t="shared" ref="O456:O461" si="323">IF(N456=0,0,AVERAGE(B456:M456))</f>
        <v>0.16666666666666666</v>
      </c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s="9" customFormat="1" ht="15.75">
      <c r="A457" s="37" t="s">
        <v>379</v>
      </c>
      <c r="B457" s="21">
        <v>5</v>
      </c>
      <c r="C457" s="21">
        <v>5</v>
      </c>
      <c r="D457" s="21">
        <v>3</v>
      </c>
      <c r="E457" s="21">
        <v>6</v>
      </c>
      <c r="F457" s="21">
        <v>2</v>
      </c>
      <c r="G457" s="21">
        <v>7</v>
      </c>
      <c r="H457" s="21">
        <v>3</v>
      </c>
      <c r="I457" s="21">
        <v>8</v>
      </c>
      <c r="J457" s="87">
        <v>7</v>
      </c>
      <c r="K457" s="21">
        <v>11</v>
      </c>
      <c r="L457" s="21">
        <v>14</v>
      </c>
      <c r="M457" s="21">
        <v>13</v>
      </c>
      <c r="N457" s="150">
        <f t="shared" si="322"/>
        <v>84</v>
      </c>
      <c r="O457" s="22">
        <f t="shared" si="323"/>
        <v>7</v>
      </c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s="9" customFormat="1" ht="15.75">
      <c r="A458" s="37" t="s">
        <v>380</v>
      </c>
      <c r="B458" s="21">
        <v>0</v>
      </c>
      <c r="C458" s="21">
        <v>0</v>
      </c>
      <c r="D458" s="21">
        <v>0</v>
      </c>
      <c r="E458" s="21">
        <v>0</v>
      </c>
      <c r="F458" s="21">
        <v>0</v>
      </c>
      <c r="G458" s="21">
        <v>0</v>
      </c>
      <c r="H458" s="21">
        <v>0</v>
      </c>
      <c r="I458" s="21">
        <v>0</v>
      </c>
      <c r="J458" s="21">
        <v>0</v>
      </c>
      <c r="K458" s="21">
        <v>0</v>
      </c>
      <c r="L458" s="21">
        <v>0</v>
      </c>
      <c r="M458" s="21">
        <v>0</v>
      </c>
      <c r="N458" s="150">
        <f t="shared" si="322"/>
        <v>0</v>
      </c>
      <c r="O458" s="22">
        <f t="shared" si="323"/>
        <v>0</v>
      </c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s="9" customFormat="1" ht="15.75">
      <c r="A459" s="62" t="s">
        <v>21</v>
      </c>
      <c r="B459" s="24">
        <f t="shared" ref="B459:C459" si="324">SUM(B456:B458)</f>
        <v>5</v>
      </c>
      <c r="C459" s="24">
        <f t="shared" si="324"/>
        <v>5</v>
      </c>
      <c r="D459" s="24">
        <f t="shared" ref="D459:E459" si="325">SUM(D456:D458)</f>
        <v>3</v>
      </c>
      <c r="E459" s="24">
        <f t="shared" si="325"/>
        <v>6</v>
      </c>
      <c r="F459" s="24">
        <f t="shared" ref="F459:G459" si="326">SUM(F456:F458)</f>
        <v>2</v>
      </c>
      <c r="G459" s="24">
        <f t="shared" si="326"/>
        <v>7</v>
      </c>
      <c r="H459" s="24">
        <f t="shared" ref="H459:I459" si="327">SUM(H456:H458)</f>
        <v>5</v>
      </c>
      <c r="I459" s="24">
        <f t="shared" si="327"/>
        <v>8</v>
      </c>
      <c r="J459" s="24">
        <f t="shared" ref="J459:K459" si="328">SUM(J456:J458)</f>
        <v>7</v>
      </c>
      <c r="K459" s="24">
        <f t="shared" si="328"/>
        <v>11</v>
      </c>
      <c r="L459" s="24">
        <f t="shared" ref="L459:M459" si="329">SUM(L456:L458)</f>
        <v>14</v>
      </c>
      <c r="M459" s="24">
        <f t="shared" si="329"/>
        <v>13</v>
      </c>
      <c r="N459" s="144">
        <f t="shared" si="322"/>
        <v>86</v>
      </c>
      <c r="O459" s="25">
        <f t="shared" si="323"/>
        <v>7.166666666666667</v>
      </c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s="9" customFormat="1" ht="31.5">
      <c r="A460" s="62" t="s">
        <v>381</v>
      </c>
      <c r="B460" s="24">
        <v>0</v>
      </c>
      <c r="C460" s="24">
        <v>0</v>
      </c>
      <c r="D460" s="24">
        <v>0</v>
      </c>
      <c r="E460" s="24">
        <v>0</v>
      </c>
      <c r="F460" s="24">
        <v>0</v>
      </c>
      <c r="G460" s="24">
        <v>1</v>
      </c>
      <c r="H460" s="24">
        <v>0</v>
      </c>
      <c r="I460" s="24">
        <v>0</v>
      </c>
      <c r="J460" s="24">
        <v>0</v>
      </c>
      <c r="K460" s="24">
        <v>0</v>
      </c>
      <c r="L460" s="24">
        <v>0</v>
      </c>
      <c r="M460" s="24">
        <v>0</v>
      </c>
      <c r="N460" s="144">
        <f t="shared" si="322"/>
        <v>1</v>
      </c>
      <c r="O460" s="25">
        <f t="shared" si="323"/>
        <v>8.3333333333333329E-2</v>
      </c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s="9" customFormat="1" ht="15.75">
      <c r="A461" s="62" t="s">
        <v>382</v>
      </c>
      <c r="B461" s="25">
        <f t="shared" ref="B461:G461" si="330">IF(B459=0,"",B459/B1870)</f>
        <v>0.16129032258064516</v>
      </c>
      <c r="C461" s="25">
        <f t="shared" si="330"/>
        <v>0.17857142857142858</v>
      </c>
      <c r="D461" s="25">
        <f t="shared" si="330"/>
        <v>9.6774193548387094E-2</v>
      </c>
      <c r="E461" s="25">
        <f t="shared" si="330"/>
        <v>0.2</v>
      </c>
      <c r="F461" s="25">
        <f t="shared" si="330"/>
        <v>6.4516129032258063E-2</v>
      </c>
      <c r="G461" s="25">
        <f t="shared" si="330"/>
        <v>0.23333333333333334</v>
      </c>
      <c r="H461" s="25">
        <f t="shared" ref="H461:I461" si="331">IF(H459=0,"",H459/H1870)</f>
        <v>0.16129032258064516</v>
      </c>
      <c r="I461" s="25">
        <f t="shared" si="331"/>
        <v>0.25806451612903225</v>
      </c>
      <c r="J461" s="25">
        <f t="shared" ref="J461:K461" si="332">IF(J459=0,"",J459/J1870)</f>
        <v>0.23333333333333334</v>
      </c>
      <c r="K461" s="25">
        <f t="shared" si="332"/>
        <v>0.35483870967741937</v>
      </c>
      <c r="L461" s="25">
        <f t="shared" ref="L461:M461" si="333">IF(L459=0,"",L459/L1870)</f>
        <v>0.46666666666666667</v>
      </c>
      <c r="M461" s="25">
        <f t="shared" si="333"/>
        <v>0.41935483870967744</v>
      </c>
      <c r="N461" s="144">
        <f t="shared" si="322"/>
        <v>2.8280337941628266</v>
      </c>
      <c r="O461" s="25">
        <f t="shared" si="323"/>
        <v>0.23566948284690223</v>
      </c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s="9" customFormat="1">
      <c r="A462" s="26"/>
      <c r="B462" s="27"/>
      <c r="C462" s="27"/>
      <c r="D462" s="27"/>
      <c r="E462" s="27"/>
      <c r="F462" s="27"/>
      <c r="G462" s="28"/>
      <c r="H462" s="28"/>
      <c r="I462" s="28"/>
      <c r="J462" s="28"/>
      <c r="K462" s="28"/>
      <c r="L462" s="28"/>
      <c r="M462" s="28"/>
      <c r="N462" s="151"/>
      <c r="O462" s="16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s="9" customFormat="1" ht="15.75">
      <c r="A463" s="64" t="s">
        <v>95</v>
      </c>
      <c r="B463" s="65">
        <f t="shared" ref="B463:G463" si="334">B459</f>
        <v>5</v>
      </c>
      <c r="C463" s="65">
        <f t="shared" si="334"/>
        <v>5</v>
      </c>
      <c r="D463" s="65">
        <f t="shared" si="334"/>
        <v>3</v>
      </c>
      <c r="E463" s="65">
        <f t="shared" si="334"/>
        <v>6</v>
      </c>
      <c r="F463" s="65">
        <f t="shared" si="334"/>
        <v>2</v>
      </c>
      <c r="G463" s="65">
        <f t="shared" si="334"/>
        <v>7</v>
      </c>
      <c r="H463" s="65">
        <f t="shared" ref="H463:I463" si="335">H459</f>
        <v>5</v>
      </c>
      <c r="I463" s="65">
        <f t="shared" si="335"/>
        <v>8</v>
      </c>
      <c r="J463" s="65">
        <f>J459</f>
        <v>7</v>
      </c>
      <c r="K463" s="65">
        <f t="shared" ref="K463:L463" si="336">K459</f>
        <v>11</v>
      </c>
      <c r="L463" s="65">
        <f t="shared" si="336"/>
        <v>14</v>
      </c>
      <c r="M463" s="65">
        <f t="shared" ref="M463" si="337">M459</f>
        <v>13</v>
      </c>
      <c r="N463" s="144">
        <f>SUM(B463:M463)</f>
        <v>86</v>
      </c>
      <c r="O463" s="25">
        <f>IF(N463=0,0,AVERAGE(B463:M463))</f>
        <v>7.166666666666667</v>
      </c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s="9" customFormat="1" ht="15.75">
      <c r="A464" s="37" t="s">
        <v>96</v>
      </c>
      <c r="B464" s="21">
        <v>5</v>
      </c>
      <c r="C464" s="21">
        <v>5</v>
      </c>
      <c r="D464" s="21">
        <v>5</v>
      </c>
      <c r="E464" s="21">
        <v>5</v>
      </c>
      <c r="F464" s="21">
        <v>5</v>
      </c>
      <c r="G464" s="21">
        <v>5</v>
      </c>
      <c r="H464" s="21">
        <v>5</v>
      </c>
      <c r="I464" s="21">
        <v>5</v>
      </c>
      <c r="J464" s="21">
        <v>5</v>
      </c>
      <c r="K464" s="21">
        <v>5</v>
      </c>
      <c r="L464" s="21">
        <v>5</v>
      </c>
      <c r="M464" s="21">
        <v>5</v>
      </c>
      <c r="N464" s="150">
        <f>SUM(B464:M464)</f>
        <v>60</v>
      </c>
      <c r="O464" s="22">
        <f>IF(N464=0,0,AVERAGE(B464:M464))</f>
        <v>5</v>
      </c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s="9" customFormat="1" ht="15.75">
      <c r="A465" s="62" t="s">
        <v>97</v>
      </c>
      <c r="B465" s="25">
        <f t="shared" ref="B465:G465" si="338">IF(B463="","",B463/B1870)</f>
        <v>0.16129032258064516</v>
      </c>
      <c r="C465" s="25">
        <f t="shared" si="338"/>
        <v>0.17857142857142858</v>
      </c>
      <c r="D465" s="25">
        <f t="shared" si="338"/>
        <v>9.6774193548387094E-2</v>
      </c>
      <c r="E465" s="25">
        <f t="shared" si="338"/>
        <v>0.2</v>
      </c>
      <c r="F465" s="25">
        <f t="shared" si="338"/>
        <v>6.4516129032258063E-2</v>
      </c>
      <c r="G465" s="25">
        <f t="shared" si="338"/>
        <v>0.23333333333333334</v>
      </c>
      <c r="H465" s="25">
        <f t="shared" ref="H465:K465" si="339">IF(H463="","",H463/H1870)</f>
        <v>0.16129032258064516</v>
      </c>
      <c r="I465" s="25">
        <f t="shared" si="339"/>
        <v>0.25806451612903225</v>
      </c>
      <c r="J465" s="25">
        <f t="shared" si="339"/>
        <v>0.23333333333333334</v>
      </c>
      <c r="K465" s="25">
        <f t="shared" si="339"/>
        <v>0.35483870967741937</v>
      </c>
      <c r="L465" s="25">
        <f t="shared" ref="L465:M465" si="340">IF(L463="","",L463/L1870)</f>
        <v>0.46666666666666667</v>
      </c>
      <c r="M465" s="25">
        <f t="shared" si="340"/>
        <v>0.41935483870967744</v>
      </c>
      <c r="N465" s="144">
        <f>SUM(B465:M465)</f>
        <v>2.8280337941628266</v>
      </c>
      <c r="O465" s="25">
        <f>IF(N465=0,0,AVERAGE(B465:M465))</f>
        <v>0.23566948284690223</v>
      </c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s="9" customFormat="1" ht="15.75">
      <c r="A466" s="26"/>
      <c r="B466" s="27"/>
      <c r="C466" s="27"/>
      <c r="D466" s="27"/>
      <c r="E466" s="28"/>
      <c r="F466" s="28"/>
      <c r="G466" s="28"/>
      <c r="H466" s="28"/>
      <c r="I466" s="28"/>
      <c r="J466" s="28"/>
      <c r="K466" s="28"/>
      <c r="L466" s="28"/>
      <c r="M466" s="28"/>
      <c r="N466" s="151"/>
      <c r="O466" s="57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s="9" customFormat="1" ht="15.75">
      <c r="A467" s="66" t="s">
        <v>396</v>
      </c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149"/>
      <c r="O467" s="19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s="9" customFormat="1" ht="15.75">
      <c r="A468" s="37" t="s">
        <v>99</v>
      </c>
      <c r="B468" s="21">
        <v>5</v>
      </c>
      <c r="C468" s="21">
        <v>5</v>
      </c>
      <c r="D468" s="21">
        <v>3</v>
      </c>
      <c r="E468" s="21">
        <v>6</v>
      </c>
      <c r="F468" s="21">
        <v>2</v>
      </c>
      <c r="G468" s="21">
        <v>6</v>
      </c>
      <c r="H468" s="21">
        <v>5</v>
      </c>
      <c r="I468" s="21">
        <v>8</v>
      </c>
      <c r="J468" s="87">
        <v>7</v>
      </c>
      <c r="K468" s="21">
        <v>10</v>
      </c>
      <c r="L468" s="21">
        <v>14</v>
      </c>
      <c r="M468" s="21">
        <v>13</v>
      </c>
      <c r="N468" s="150">
        <f>SUM(B468:M468)</f>
        <v>84</v>
      </c>
      <c r="O468" s="22">
        <f>IF(N468=0,0,AVERAGE(B468:M468))</f>
        <v>7</v>
      </c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s="9" customFormat="1" ht="15.75">
      <c r="A469" s="37" t="s">
        <v>413</v>
      </c>
      <c r="B469" s="21">
        <v>0</v>
      </c>
      <c r="C469" s="21">
        <v>0</v>
      </c>
      <c r="D469" s="21">
        <v>0</v>
      </c>
      <c r="E469" s="21">
        <v>0</v>
      </c>
      <c r="F469" s="21">
        <v>0</v>
      </c>
      <c r="G469" s="21">
        <v>1</v>
      </c>
      <c r="H469" s="21">
        <v>0</v>
      </c>
      <c r="I469" s="21">
        <v>0</v>
      </c>
      <c r="J469" s="87">
        <v>0</v>
      </c>
      <c r="K469" s="21">
        <v>1</v>
      </c>
      <c r="L469" s="21">
        <v>0</v>
      </c>
      <c r="M469" s="21">
        <v>0</v>
      </c>
      <c r="N469" s="150">
        <f>SUM(B469:M469)</f>
        <v>2</v>
      </c>
      <c r="O469" s="22">
        <f>IF(N469=0,0,AVERAGE(B469:M469))</f>
        <v>0.16666666666666666</v>
      </c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s="9" customFormat="1" ht="15.75">
      <c r="A470" s="62" t="s">
        <v>21</v>
      </c>
      <c r="B470" s="24">
        <f t="shared" ref="B470:C470" si="341">SUM(B468:B469)</f>
        <v>5</v>
      </c>
      <c r="C470" s="24">
        <f t="shared" si="341"/>
        <v>5</v>
      </c>
      <c r="D470" s="24">
        <f t="shared" ref="D470:M470" si="342">SUM(D468:D469)</f>
        <v>3</v>
      </c>
      <c r="E470" s="24">
        <f t="shared" si="342"/>
        <v>6</v>
      </c>
      <c r="F470" s="24">
        <f t="shared" si="342"/>
        <v>2</v>
      </c>
      <c r="G470" s="24">
        <f t="shared" si="342"/>
        <v>7</v>
      </c>
      <c r="H470" s="24">
        <f t="shared" si="342"/>
        <v>5</v>
      </c>
      <c r="I470" s="24">
        <f t="shared" si="342"/>
        <v>8</v>
      </c>
      <c r="J470" s="24">
        <f t="shared" si="342"/>
        <v>7</v>
      </c>
      <c r="K470" s="24">
        <f t="shared" si="342"/>
        <v>11</v>
      </c>
      <c r="L470" s="24">
        <f t="shared" si="342"/>
        <v>14</v>
      </c>
      <c r="M470" s="24">
        <f t="shared" si="342"/>
        <v>13</v>
      </c>
      <c r="N470" s="144">
        <f>SUM(N468:N469)</f>
        <v>86</v>
      </c>
      <c r="O470" s="25">
        <f>SUM(O468:O469)</f>
        <v>7.166666666666667</v>
      </c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s="9" customFormat="1" ht="15.75">
      <c r="A471" s="67" t="s">
        <v>375</v>
      </c>
      <c r="B471" s="68" t="e">
        <f>SUM(#REF!,#REF!,#REF!)</f>
        <v>#REF!</v>
      </c>
      <c r="C471" s="68"/>
      <c r="D471" s="68"/>
      <c r="E471" s="68"/>
      <c r="F471" s="68"/>
      <c r="G471" s="68"/>
      <c r="H471" s="68"/>
      <c r="I471" s="68"/>
      <c r="J471" s="68"/>
      <c r="K471" s="68"/>
      <c r="L471" s="68"/>
      <c r="M471" s="68"/>
      <c r="N471" s="161"/>
      <c r="O471" s="69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s="9" customFormat="1" ht="15.75">
      <c r="A472" s="66" t="s">
        <v>383</v>
      </c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149"/>
      <c r="O472" s="19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s="9" customFormat="1" ht="15.75">
      <c r="A473" s="37" t="s">
        <v>384</v>
      </c>
      <c r="B473" s="21">
        <v>0</v>
      </c>
      <c r="C473" s="21">
        <v>0</v>
      </c>
      <c r="D473" s="21">
        <v>0</v>
      </c>
      <c r="E473" s="21">
        <v>0</v>
      </c>
      <c r="F473" s="21">
        <v>0</v>
      </c>
      <c r="G473" s="21">
        <v>0</v>
      </c>
      <c r="H473" s="21">
        <v>0</v>
      </c>
      <c r="I473" s="21">
        <v>0</v>
      </c>
      <c r="J473" s="21">
        <v>0</v>
      </c>
      <c r="K473" s="21">
        <v>0</v>
      </c>
      <c r="L473" s="21">
        <v>0</v>
      </c>
      <c r="M473" s="21">
        <v>0</v>
      </c>
      <c r="N473" s="150">
        <f>SUM(B473:M473)</f>
        <v>0</v>
      </c>
      <c r="O473" s="22">
        <f>IF(N473=0,0,AVERAGE(B473:M473))</f>
        <v>0</v>
      </c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s="9" customFormat="1" ht="15.75">
      <c r="A474" s="37" t="s">
        <v>310</v>
      </c>
      <c r="B474" s="21">
        <v>0</v>
      </c>
      <c r="C474" s="21">
        <v>0</v>
      </c>
      <c r="D474" s="21">
        <v>0</v>
      </c>
      <c r="E474" s="21">
        <v>0</v>
      </c>
      <c r="F474" s="21">
        <v>0</v>
      </c>
      <c r="G474" s="21">
        <v>0</v>
      </c>
      <c r="H474" s="21">
        <v>0</v>
      </c>
      <c r="I474" s="21">
        <v>0</v>
      </c>
      <c r="J474" s="21">
        <v>0</v>
      </c>
      <c r="K474" s="21">
        <v>0</v>
      </c>
      <c r="L474" s="21">
        <v>0</v>
      </c>
      <c r="M474" s="21">
        <v>0</v>
      </c>
      <c r="N474" s="150">
        <f>SUM(B474:M474)</f>
        <v>0</v>
      </c>
      <c r="O474" s="22">
        <f>IF(N474=0,0,AVERAGE(B474:M474))</f>
        <v>0</v>
      </c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s="9" customFormat="1" ht="30">
      <c r="A475" s="37" t="s">
        <v>385</v>
      </c>
      <c r="B475" s="21">
        <v>5</v>
      </c>
      <c r="C475" s="21">
        <v>5</v>
      </c>
      <c r="D475" s="21">
        <v>3</v>
      </c>
      <c r="E475" s="21">
        <v>6</v>
      </c>
      <c r="F475" s="21">
        <v>2</v>
      </c>
      <c r="G475" s="21">
        <v>7</v>
      </c>
      <c r="H475" s="21">
        <v>5</v>
      </c>
      <c r="I475" s="21">
        <v>8</v>
      </c>
      <c r="J475" s="21">
        <v>7</v>
      </c>
      <c r="K475" s="21">
        <v>11</v>
      </c>
      <c r="L475" s="21">
        <v>14</v>
      </c>
      <c r="M475" s="21">
        <v>13</v>
      </c>
      <c r="N475" s="150">
        <f>SUM(B475:M475)</f>
        <v>86</v>
      </c>
      <c r="O475" s="22">
        <f>IF(N475=0,0,AVERAGE(B475:M475))</f>
        <v>7.166666666666667</v>
      </c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s="9" customFormat="1" ht="15.75">
      <c r="A476" s="73" t="s">
        <v>21</v>
      </c>
      <c r="B476" s="47">
        <f t="shared" ref="B476:C476" si="343">SUM(B473:B475)</f>
        <v>5</v>
      </c>
      <c r="C476" s="47">
        <f t="shared" si="343"/>
        <v>5</v>
      </c>
      <c r="D476" s="47">
        <f t="shared" ref="D476:E476" si="344">SUM(D473:D475)</f>
        <v>3</v>
      </c>
      <c r="E476" s="47">
        <f t="shared" si="344"/>
        <v>6</v>
      </c>
      <c r="F476" s="47">
        <f t="shared" ref="F476:G476" si="345">SUM(F473:F475)</f>
        <v>2</v>
      </c>
      <c r="G476" s="47">
        <f t="shared" si="345"/>
        <v>7</v>
      </c>
      <c r="H476" s="47">
        <f t="shared" ref="H476:I476" si="346">SUM(H473:H475)</f>
        <v>5</v>
      </c>
      <c r="I476" s="47">
        <f t="shared" si="346"/>
        <v>8</v>
      </c>
      <c r="J476" s="47">
        <f t="shared" ref="J476:K476" si="347">SUM(J473:J475)</f>
        <v>7</v>
      </c>
      <c r="K476" s="47">
        <f t="shared" si="347"/>
        <v>11</v>
      </c>
      <c r="L476" s="47">
        <f t="shared" ref="L476:M476" si="348">SUM(L473:L475)</f>
        <v>14</v>
      </c>
      <c r="M476" s="47">
        <f t="shared" si="348"/>
        <v>13</v>
      </c>
      <c r="N476" s="156">
        <f>SUM(N473:N475)</f>
        <v>86</v>
      </c>
      <c r="O476" s="48">
        <f>SUM(O473:O475)</f>
        <v>7.166666666666667</v>
      </c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s="9" customFormat="1" ht="15.75">
      <c r="A477" s="80" t="s">
        <v>382</v>
      </c>
      <c r="B477" s="25">
        <f t="shared" ref="B477:G477" si="349">IF(B476=0,"",B476/B$1870)</f>
        <v>0.16129032258064516</v>
      </c>
      <c r="C477" s="25">
        <f t="shared" si="349"/>
        <v>0.17857142857142858</v>
      </c>
      <c r="D477" s="25">
        <f t="shared" si="349"/>
        <v>9.6774193548387094E-2</v>
      </c>
      <c r="E477" s="25">
        <f t="shared" si="349"/>
        <v>0.2</v>
      </c>
      <c r="F477" s="25">
        <f t="shared" si="349"/>
        <v>6.4516129032258063E-2</v>
      </c>
      <c r="G477" s="25">
        <f t="shared" si="349"/>
        <v>0.23333333333333334</v>
      </c>
      <c r="H477" s="25">
        <f t="shared" ref="H477:I477" si="350">IF(H476=0,"",H476/H$1870)</f>
        <v>0.16129032258064516</v>
      </c>
      <c r="I477" s="25">
        <f t="shared" si="350"/>
        <v>0.25806451612903225</v>
      </c>
      <c r="J477" s="25">
        <f t="shared" ref="J477:K477" si="351">IF(J476=0,"",J476/J$1870)</f>
        <v>0.23333333333333334</v>
      </c>
      <c r="K477" s="25">
        <f t="shared" si="351"/>
        <v>0.35483870967741937</v>
      </c>
      <c r="L477" s="25">
        <f t="shared" ref="L477:M477" si="352">IF(L476=0,"",L476/L$1870)</f>
        <v>0.46666666666666667</v>
      </c>
      <c r="M477" s="25">
        <f t="shared" si="352"/>
        <v>0.41935483870967744</v>
      </c>
      <c r="N477" s="144">
        <f>SUM(B477:M477)</f>
        <v>2.8280337941628266</v>
      </c>
      <c r="O477" s="25">
        <f>IF(N477=0,0,AVERAGE(B477:M477))</f>
        <v>0.23566948284690223</v>
      </c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customFormat="1" ht="14.25"/>
    <row r="479" spans="1:26" s="9" customFormat="1" ht="15.75">
      <c r="A479" s="183" t="s">
        <v>386</v>
      </c>
      <c r="B479" s="194"/>
      <c r="C479" s="194"/>
      <c r="D479" s="194"/>
      <c r="E479" s="194"/>
      <c r="F479" s="194"/>
      <c r="G479" s="194"/>
      <c r="H479" s="194"/>
      <c r="I479" s="194"/>
      <c r="J479" s="194"/>
      <c r="K479" s="194"/>
      <c r="L479" s="194"/>
      <c r="M479" s="194"/>
      <c r="N479" s="194"/>
      <c r="O479" s="274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s="9" customFormat="1" ht="15.75">
      <c r="A480" s="77" t="s">
        <v>387</v>
      </c>
      <c r="B480" s="78"/>
      <c r="C480" s="78"/>
      <c r="D480" s="78"/>
      <c r="E480" s="78"/>
      <c r="F480" s="78"/>
      <c r="G480" s="78"/>
      <c r="H480" s="78"/>
      <c r="I480" s="78"/>
      <c r="J480" s="78"/>
      <c r="K480" s="78"/>
      <c r="L480" s="78"/>
      <c r="M480" s="78"/>
      <c r="N480" s="164"/>
      <c r="O480" s="275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s="9" customFormat="1" ht="15.75">
      <c r="A481" s="37" t="s">
        <v>105</v>
      </c>
      <c r="B481" s="21">
        <v>0</v>
      </c>
      <c r="C481" s="21">
        <v>0</v>
      </c>
      <c r="D481" s="21">
        <v>0</v>
      </c>
      <c r="E481" s="21">
        <v>0</v>
      </c>
      <c r="F481" s="21">
        <v>0</v>
      </c>
      <c r="G481" s="21">
        <v>0</v>
      </c>
      <c r="H481" s="21">
        <v>0</v>
      </c>
      <c r="I481" s="21">
        <v>0</v>
      </c>
      <c r="J481" s="87">
        <v>0</v>
      </c>
      <c r="K481" s="21">
        <v>0</v>
      </c>
      <c r="L481" s="21">
        <v>0</v>
      </c>
      <c r="M481" s="21">
        <v>0</v>
      </c>
      <c r="N481" s="150">
        <f t="shared" ref="N481:N489" si="353">SUM(B481:M481)</f>
        <v>0</v>
      </c>
      <c r="O481" s="22">
        <f t="shared" ref="O481:O489" si="354">IF(N481=0,0,AVERAGE(B481:M481))</f>
        <v>0</v>
      </c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s="9" customFormat="1" ht="15.75">
      <c r="A482" s="37" t="s">
        <v>106</v>
      </c>
      <c r="B482" s="21">
        <v>0</v>
      </c>
      <c r="C482" s="21">
        <v>0</v>
      </c>
      <c r="D482" s="21">
        <v>0</v>
      </c>
      <c r="E482" s="21">
        <v>0</v>
      </c>
      <c r="F482" s="21">
        <v>0</v>
      </c>
      <c r="G482" s="21">
        <v>0</v>
      </c>
      <c r="H482" s="21">
        <v>0</v>
      </c>
      <c r="I482" s="21">
        <v>0</v>
      </c>
      <c r="J482" s="87">
        <v>0</v>
      </c>
      <c r="K482" s="21">
        <v>0</v>
      </c>
      <c r="L482" s="21">
        <v>0</v>
      </c>
      <c r="M482" s="21">
        <v>0</v>
      </c>
      <c r="N482" s="150">
        <f t="shared" si="353"/>
        <v>0</v>
      </c>
      <c r="O482" s="22">
        <f t="shared" si="354"/>
        <v>0</v>
      </c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s="9" customFormat="1" ht="15.75">
      <c r="A483" s="37" t="s">
        <v>47</v>
      </c>
      <c r="B483" s="21">
        <v>5</v>
      </c>
      <c r="C483" s="21">
        <v>5</v>
      </c>
      <c r="D483" s="21">
        <v>3</v>
      </c>
      <c r="E483" s="21">
        <v>6</v>
      </c>
      <c r="F483" s="21">
        <v>1</v>
      </c>
      <c r="G483" s="21">
        <v>7</v>
      </c>
      <c r="H483" s="21">
        <v>5</v>
      </c>
      <c r="I483" s="21">
        <v>8</v>
      </c>
      <c r="J483" s="21">
        <v>6</v>
      </c>
      <c r="K483" s="21">
        <v>8</v>
      </c>
      <c r="L483" s="21">
        <v>14</v>
      </c>
      <c r="M483" s="21">
        <v>13</v>
      </c>
      <c r="N483" s="150">
        <f t="shared" si="353"/>
        <v>81</v>
      </c>
      <c r="O483" s="22">
        <f t="shared" si="354"/>
        <v>6.75</v>
      </c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s="9" customFormat="1" ht="15.75">
      <c r="A484" s="37" t="s">
        <v>107</v>
      </c>
      <c r="B484" s="21">
        <v>0</v>
      </c>
      <c r="C484" s="21">
        <v>0</v>
      </c>
      <c r="D484" s="21">
        <v>0</v>
      </c>
      <c r="E484" s="21">
        <v>0</v>
      </c>
      <c r="F484" s="21">
        <v>0</v>
      </c>
      <c r="G484" s="21">
        <v>0</v>
      </c>
      <c r="H484" s="21">
        <v>0</v>
      </c>
      <c r="I484" s="21">
        <v>0</v>
      </c>
      <c r="J484" s="21">
        <v>0</v>
      </c>
      <c r="K484" s="21">
        <v>0</v>
      </c>
      <c r="L484" s="21">
        <v>0</v>
      </c>
      <c r="M484" s="21">
        <v>0</v>
      </c>
      <c r="N484" s="150">
        <f t="shared" si="353"/>
        <v>0</v>
      </c>
      <c r="O484" s="22">
        <f t="shared" si="354"/>
        <v>0</v>
      </c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s="9" customFormat="1" ht="15.75">
      <c r="A485" s="37" t="s">
        <v>108</v>
      </c>
      <c r="B485" s="21">
        <v>0</v>
      </c>
      <c r="C485" s="21">
        <v>0</v>
      </c>
      <c r="D485" s="21">
        <v>0</v>
      </c>
      <c r="E485" s="21">
        <v>0</v>
      </c>
      <c r="F485" s="21">
        <v>0</v>
      </c>
      <c r="G485" s="21">
        <v>0</v>
      </c>
      <c r="H485" s="21">
        <v>0</v>
      </c>
      <c r="I485" s="21">
        <v>0</v>
      </c>
      <c r="J485" s="21">
        <v>0</v>
      </c>
      <c r="K485" s="21">
        <v>0</v>
      </c>
      <c r="L485" s="21">
        <v>0</v>
      </c>
      <c r="M485" s="21">
        <v>0</v>
      </c>
      <c r="N485" s="150">
        <f t="shared" si="353"/>
        <v>0</v>
      </c>
      <c r="O485" s="22">
        <f t="shared" si="354"/>
        <v>0</v>
      </c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s="9" customFormat="1" ht="15.75">
      <c r="A486" s="37" t="s">
        <v>109</v>
      </c>
      <c r="B486" s="21">
        <v>0</v>
      </c>
      <c r="C486" s="21">
        <v>0</v>
      </c>
      <c r="D486" s="21">
        <v>0</v>
      </c>
      <c r="E486" s="21">
        <v>0</v>
      </c>
      <c r="F486" s="21">
        <v>0</v>
      </c>
      <c r="G486" s="21">
        <v>0</v>
      </c>
      <c r="H486" s="21">
        <v>0</v>
      </c>
      <c r="I486" s="21">
        <v>0</v>
      </c>
      <c r="J486" s="21">
        <v>0</v>
      </c>
      <c r="K486" s="21">
        <v>0</v>
      </c>
      <c r="L486" s="21">
        <v>0</v>
      </c>
      <c r="M486" s="21">
        <v>0</v>
      </c>
      <c r="N486" s="150">
        <f t="shared" si="353"/>
        <v>0</v>
      </c>
      <c r="O486" s="22">
        <f t="shared" si="354"/>
        <v>0</v>
      </c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s="9" customFormat="1" ht="15.75">
      <c r="A487" s="37" t="s">
        <v>110</v>
      </c>
      <c r="B487" s="21">
        <v>0</v>
      </c>
      <c r="C487" s="21">
        <v>0</v>
      </c>
      <c r="D487" s="21">
        <v>0</v>
      </c>
      <c r="E487" s="21">
        <v>0</v>
      </c>
      <c r="F487" s="21">
        <v>1</v>
      </c>
      <c r="G487" s="21">
        <v>0</v>
      </c>
      <c r="H487" s="21">
        <v>0</v>
      </c>
      <c r="I487" s="21">
        <v>0</v>
      </c>
      <c r="J487" s="21">
        <v>1</v>
      </c>
      <c r="K487" s="21">
        <v>3</v>
      </c>
      <c r="L487" s="21">
        <v>0</v>
      </c>
      <c r="M487" s="21">
        <v>0</v>
      </c>
      <c r="N487" s="150">
        <f t="shared" si="353"/>
        <v>5</v>
      </c>
      <c r="O487" s="22">
        <f t="shared" si="354"/>
        <v>0.41666666666666669</v>
      </c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s="9" customFormat="1" ht="15.75">
      <c r="A488" s="37" t="s">
        <v>111</v>
      </c>
      <c r="B488" s="21">
        <v>0</v>
      </c>
      <c r="C488" s="21">
        <v>0</v>
      </c>
      <c r="D488" s="21">
        <v>0</v>
      </c>
      <c r="E488" s="21">
        <v>0</v>
      </c>
      <c r="F488" s="21">
        <v>0</v>
      </c>
      <c r="G488" s="21">
        <v>0</v>
      </c>
      <c r="H488" s="21">
        <v>0</v>
      </c>
      <c r="I488" s="21">
        <v>0</v>
      </c>
      <c r="J488" s="21">
        <v>0</v>
      </c>
      <c r="K488" s="21">
        <v>0</v>
      </c>
      <c r="L488" s="21">
        <v>0</v>
      </c>
      <c r="M488" s="21">
        <v>0</v>
      </c>
      <c r="N488" s="150">
        <f t="shared" si="353"/>
        <v>0</v>
      </c>
      <c r="O488" s="22">
        <f t="shared" si="354"/>
        <v>0</v>
      </c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s="9" customFormat="1" ht="15.75">
      <c r="A489" s="62" t="s">
        <v>21</v>
      </c>
      <c r="B489" s="24">
        <f t="shared" ref="B489:C489" si="355">SUM(B481:B488)</f>
        <v>5</v>
      </c>
      <c r="C489" s="24">
        <f t="shared" si="355"/>
        <v>5</v>
      </c>
      <c r="D489" s="24">
        <f t="shared" ref="D489:E489" si="356">SUM(D481:D488)</f>
        <v>3</v>
      </c>
      <c r="E489" s="24">
        <f t="shared" si="356"/>
        <v>6</v>
      </c>
      <c r="F489" s="24">
        <f t="shared" ref="F489:G489" si="357">SUM(F481:F488)</f>
        <v>2</v>
      </c>
      <c r="G489" s="24">
        <f t="shared" si="357"/>
        <v>7</v>
      </c>
      <c r="H489" s="24">
        <f t="shared" ref="H489:I489" si="358">SUM(H481:H488)</f>
        <v>5</v>
      </c>
      <c r="I489" s="24">
        <f t="shared" si="358"/>
        <v>8</v>
      </c>
      <c r="J489" s="24">
        <f t="shared" ref="J489:K489" si="359">SUM(J481:J488)</f>
        <v>7</v>
      </c>
      <c r="K489" s="24">
        <f t="shared" si="359"/>
        <v>11</v>
      </c>
      <c r="L489" s="24">
        <f t="shared" ref="L489:M489" si="360">SUM(L481:L488)</f>
        <v>14</v>
      </c>
      <c r="M489" s="24">
        <f t="shared" si="360"/>
        <v>13</v>
      </c>
      <c r="N489" s="144">
        <f t="shared" si="353"/>
        <v>86</v>
      </c>
      <c r="O489" s="25">
        <f t="shared" si="354"/>
        <v>7.166666666666667</v>
      </c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s="9" customFormat="1" ht="15.75">
      <c r="A490" s="62" t="s">
        <v>112</v>
      </c>
      <c r="B490" s="25">
        <f t="shared" ref="B490:G490" si="361">IF(B489=0,"",B489/B1870)</f>
        <v>0.16129032258064516</v>
      </c>
      <c r="C490" s="25">
        <f t="shared" si="361"/>
        <v>0.17857142857142858</v>
      </c>
      <c r="D490" s="25">
        <f t="shared" si="361"/>
        <v>9.6774193548387094E-2</v>
      </c>
      <c r="E490" s="25">
        <f t="shared" si="361"/>
        <v>0.2</v>
      </c>
      <c r="F490" s="25">
        <f t="shared" si="361"/>
        <v>6.4516129032258063E-2</v>
      </c>
      <c r="G490" s="25">
        <f t="shared" si="361"/>
        <v>0.23333333333333334</v>
      </c>
      <c r="H490" s="25">
        <f t="shared" ref="H490:I490" si="362">IF(H489=0,"",H489/H1870)</f>
        <v>0.16129032258064516</v>
      </c>
      <c r="I490" s="25">
        <f t="shared" si="362"/>
        <v>0.25806451612903225</v>
      </c>
      <c r="J490" s="25">
        <f t="shared" ref="J490:K490" si="363">IF(J489=0,"",J489/J1870)</f>
        <v>0.23333333333333334</v>
      </c>
      <c r="K490" s="25">
        <f t="shared" si="363"/>
        <v>0.35483870967741937</v>
      </c>
      <c r="L490" s="25">
        <f t="shared" ref="L490:M490" si="364">IF(L489=0,"",L489/L1870)</f>
        <v>0.46666666666666667</v>
      </c>
      <c r="M490" s="25">
        <f t="shared" si="364"/>
        <v>0.41935483870967744</v>
      </c>
      <c r="N490" s="144">
        <f>SUM(B490:M490)</f>
        <v>2.8280337941628266</v>
      </c>
      <c r="O490" s="25">
        <f>IF(N490=0,0,AVERAGE(B490:M490))</f>
        <v>0.23566948284690223</v>
      </c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s="9" customFormat="1" ht="15.75">
      <c r="A491" s="26"/>
      <c r="B491" s="27"/>
      <c r="C491" s="27"/>
      <c r="D491" s="27"/>
      <c r="E491" s="28"/>
      <c r="F491" s="28"/>
      <c r="G491" s="28"/>
      <c r="H491" s="28"/>
      <c r="I491" s="28"/>
      <c r="J491" s="28"/>
      <c r="K491" s="28"/>
      <c r="L491" s="28"/>
      <c r="M491" s="28"/>
      <c r="N491" s="151"/>
      <c r="O491" s="57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s="9" customFormat="1" ht="15.75">
      <c r="A492" s="79" t="s">
        <v>388</v>
      </c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149"/>
      <c r="O492" s="19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s="9" customFormat="1" ht="15.75">
      <c r="A493" s="40" t="s">
        <v>114</v>
      </c>
      <c r="B493" s="21">
        <v>1</v>
      </c>
      <c r="C493" s="21">
        <v>2</v>
      </c>
      <c r="D493" s="21">
        <v>1</v>
      </c>
      <c r="E493" s="21">
        <v>1</v>
      </c>
      <c r="F493" s="21">
        <v>1</v>
      </c>
      <c r="G493" s="21">
        <v>1</v>
      </c>
      <c r="H493" s="21">
        <v>2</v>
      </c>
      <c r="I493" s="21">
        <v>0</v>
      </c>
      <c r="J493" s="87">
        <v>0</v>
      </c>
      <c r="K493" s="21">
        <v>0</v>
      </c>
      <c r="L493" s="21">
        <v>0</v>
      </c>
      <c r="M493" s="21">
        <v>1</v>
      </c>
      <c r="N493" s="150">
        <f>SUM(B493:M493)</f>
        <v>10</v>
      </c>
      <c r="O493" s="22">
        <f>IF(N493=0,0,AVERAGE(B493:M493))</f>
        <v>0.83333333333333337</v>
      </c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s="9" customFormat="1" ht="15.75">
      <c r="A494" s="40" t="s">
        <v>18</v>
      </c>
      <c r="B494" s="21">
        <v>2</v>
      </c>
      <c r="C494" s="21">
        <v>1</v>
      </c>
      <c r="D494" s="21">
        <v>1</v>
      </c>
      <c r="E494" s="21">
        <v>1</v>
      </c>
      <c r="F494" s="21">
        <v>0</v>
      </c>
      <c r="G494" s="21">
        <v>6</v>
      </c>
      <c r="H494" s="21">
        <v>3</v>
      </c>
      <c r="I494" s="21">
        <v>7</v>
      </c>
      <c r="J494" s="87">
        <v>6</v>
      </c>
      <c r="K494" s="21">
        <v>6</v>
      </c>
      <c r="L494" s="21">
        <v>12</v>
      </c>
      <c r="M494" s="21">
        <v>10</v>
      </c>
      <c r="N494" s="150">
        <f>SUM(B494:M494)</f>
        <v>55</v>
      </c>
      <c r="O494" s="22">
        <f>IF(N494=0,0,AVERAGE(B494:M494))</f>
        <v>4.583333333333333</v>
      </c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s="9" customFormat="1" ht="15.75">
      <c r="A495" s="40" t="s">
        <v>19</v>
      </c>
      <c r="B495" s="21">
        <v>2</v>
      </c>
      <c r="C495" s="21">
        <v>2</v>
      </c>
      <c r="D495" s="21">
        <v>1</v>
      </c>
      <c r="E495" s="21">
        <v>4</v>
      </c>
      <c r="F495" s="21">
        <v>1</v>
      </c>
      <c r="G495" s="21">
        <v>0</v>
      </c>
      <c r="H495" s="21">
        <v>0</v>
      </c>
      <c r="I495" s="21">
        <v>1</v>
      </c>
      <c r="J495" s="21">
        <v>1</v>
      </c>
      <c r="K495" s="21">
        <v>4</v>
      </c>
      <c r="L495" s="21">
        <v>2</v>
      </c>
      <c r="M495" s="21">
        <v>2</v>
      </c>
      <c r="N495" s="150">
        <f>SUM(B495:M495)</f>
        <v>20</v>
      </c>
      <c r="O495" s="22">
        <f>IF(N495=0,0,AVERAGE(B495:M495))</f>
        <v>1.6666666666666667</v>
      </c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s="9" customFormat="1" ht="15.75">
      <c r="A496" s="40" t="s">
        <v>20</v>
      </c>
      <c r="B496" s="21">
        <v>0</v>
      </c>
      <c r="C496" s="21">
        <v>0</v>
      </c>
      <c r="D496" s="21">
        <v>0</v>
      </c>
      <c r="E496" s="21">
        <v>0</v>
      </c>
      <c r="F496" s="21">
        <v>0</v>
      </c>
      <c r="G496" s="21">
        <v>0</v>
      </c>
      <c r="H496" s="21">
        <v>0</v>
      </c>
      <c r="I496" s="21">
        <v>0</v>
      </c>
      <c r="J496" s="21">
        <v>0</v>
      </c>
      <c r="K496" s="21">
        <v>1</v>
      </c>
      <c r="L496" s="21">
        <v>0</v>
      </c>
      <c r="M496" s="21">
        <v>0</v>
      </c>
      <c r="N496" s="150">
        <f>SUM(B496:M496)</f>
        <v>1</v>
      </c>
      <c r="O496" s="22">
        <f>IF(N496=0,0,AVERAGE(B496:M496))</f>
        <v>8.3333333333333329E-2</v>
      </c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s="9" customFormat="1" ht="15.75">
      <c r="A497" s="40" t="s">
        <v>22</v>
      </c>
      <c r="B497" s="21">
        <v>0</v>
      </c>
      <c r="C497" s="21">
        <v>0</v>
      </c>
      <c r="D497" s="21">
        <v>0</v>
      </c>
      <c r="E497" s="21">
        <v>0</v>
      </c>
      <c r="F497" s="21">
        <v>0</v>
      </c>
      <c r="G497" s="21">
        <v>0</v>
      </c>
      <c r="H497" s="21">
        <v>0</v>
      </c>
      <c r="I497" s="21">
        <v>0</v>
      </c>
      <c r="J497" s="21">
        <v>0</v>
      </c>
      <c r="K497" s="21">
        <v>0</v>
      </c>
      <c r="L497" s="21">
        <v>0</v>
      </c>
      <c r="M497" s="21">
        <v>0</v>
      </c>
      <c r="N497" s="150">
        <f>SUM(B497:M497)</f>
        <v>0</v>
      </c>
      <c r="O497" s="22">
        <f>IF(N497=0,0,AVERAGE(B497:M497))</f>
        <v>0</v>
      </c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s="9" customFormat="1" ht="15.75">
      <c r="A498" s="62" t="s">
        <v>21</v>
      </c>
      <c r="B498" s="24">
        <f t="shared" ref="B498:C498" si="365">SUM(B493:B497)</f>
        <v>5</v>
      </c>
      <c r="C498" s="24">
        <f t="shared" si="365"/>
        <v>5</v>
      </c>
      <c r="D498" s="24">
        <f t="shared" ref="D498:F498" si="366">SUM(D493:D497)</f>
        <v>3</v>
      </c>
      <c r="E498" s="24">
        <f t="shared" si="366"/>
        <v>6</v>
      </c>
      <c r="F498" s="24">
        <f t="shared" si="366"/>
        <v>2</v>
      </c>
      <c r="G498" s="24">
        <f t="shared" ref="G498:M498" si="367">SUM(G493:G497)</f>
        <v>7</v>
      </c>
      <c r="H498" s="24">
        <f t="shared" si="367"/>
        <v>5</v>
      </c>
      <c r="I498" s="24">
        <f t="shared" si="367"/>
        <v>8</v>
      </c>
      <c r="J498" s="24">
        <f t="shared" si="367"/>
        <v>7</v>
      </c>
      <c r="K498" s="24">
        <f t="shared" si="367"/>
        <v>11</v>
      </c>
      <c r="L498" s="24">
        <f t="shared" si="367"/>
        <v>14</v>
      </c>
      <c r="M498" s="24">
        <f t="shared" si="367"/>
        <v>13</v>
      </c>
      <c r="N498" s="144">
        <f>SUM(N493:N497)</f>
        <v>86</v>
      </c>
      <c r="O498" s="25">
        <f>SUM(O493:O497)</f>
        <v>7.1666666666666661</v>
      </c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s="9" customFormat="1">
      <c r="A499" s="26"/>
      <c r="B499" s="27"/>
      <c r="C499" s="27"/>
      <c r="D499" s="27"/>
      <c r="E499" s="28"/>
      <c r="F499" s="28"/>
      <c r="G499" s="28"/>
      <c r="H499" s="28"/>
      <c r="I499" s="28"/>
      <c r="J499" s="28"/>
      <c r="K499" s="28"/>
      <c r="L499" s="28"/>
      <c r="M499" s="28"/>
      <c r="N499" s="151"/>
      <c r="O499" s="16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s="9" customFormat="1" ht="15.75">
      <c r="A500" s="17" t="s">
        <v>397</v>
      </c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49"/>
      <c r="O500" s="19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s="9" customFormat="1" ht="15.75">
      <c r="A501" s="66" t="s">
        <v>398</v>
      </c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49"/>
      <c r="O501" s="19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s="9" customFormat="1" ht="15.75">
      <c r="A502" s="37" t="s">
        <v>115</v>
      </c>
      <c r="B502" s="21">
        <v>5093</v>
      </c>
      <c r="C502" s="21">
        <v>5127</v>
      </c>
      <c r="D502" s="21">
        <v>4665</v>
      </c>
      <c r="E502" s="21">
        <v>3653</v>
      </c>
      <c r="F502" s="21">
        <v>3500</v>
      </c>
      <c r="G502" s="21">
        <v>3368</v>
      </c>
      <c r="H502" s="21">
        <v>4642</v>
      </c>
      <c r="I502" s="21">
        <v>5929</v>
      </c>
      <c r="J502" s="87">
        <v>5731</v>
      </c>
      <c r="K502" s="87">
        <v>5637</v>
      </c>
      <c r="L502" s="21">
        <v>3494</v>
      </c>
      <c r="M502" s="21">
        <v>5171</v>
      </c>
      <c r="N502" s="150">
        <f t="shared" ref="N502:N507" si="368">SUM(B502:M502)</f>
        <v>56010</v>
      </c>
      <c r="O502" s="22">
        <f t="shared" ref="O502:O507" si="369">IF(N502=0,0,AVERAGE(B502:M502))</f>
        <v>4667.5</v>
      </c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s="9" customFormat="1" ht="15.75">
      <c r="A503" s="37" t="s">
        <v>116</v>
      </c>
      <c r="B503" s="21">
        <v>104</v>
      </c>
      <c r="C503" s="21">
        <v>122</v>
      </c>
      <c r="D503" s="21">
        <v>103</v>
      </c>
      <c r="E503" s="21">
        <v>66</v>
      </c>
      <c r="F503" s="21">
        <v>67</v>
      </c>
      <c r="G503" s="21">
        <v>76</v>
      </c>
      <c r="H503" s="21">
        <v>97</v>
      </c>
      <c r="I503" s="21">
        <v>129</v>
      </c>
      <c r="J503" s="87">
        <f>106+12</f>
        <v>118</v>
      </c>
      <c r="K503" s="87">
        <f>62+90</f>
        <v>152</v>
      </c>
      <c r="L503" s="21">
        <v>159</v>
      </c>
      <c r="M503" s="21">
        <f>60+86</f>
        <v>146</v>
      </c>
      <c r="N503" s="150">
        <f t="shared" si="368"/>
        <v>1339</v>
      </c>
      <c r="O503" s="22">
        <f t="shared" si="369"/>
        <v>111.58333333333333</v>
      </c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s="9" customFormat="1" ht="15.75">
      <c r="A504" s="37" t="s">
        <v>117</v>
      </c>
      <c r="B504" s="21">
        <v>2</v>
      </c>
      <c r="C504" s="21">
        <v>10</v>
      </c>
      <c r="D504" s="21">
        <v>19</v>
      </c>
      <c r="E504" s="21">
        <v>7</v>
      </c>
      <c r="F504" s="21">
        <v>5</v>
      </c>
      <c r="G504" s="21">
        <v>10</v>
      </c>
      <c r="H504" s="21">
        <v>14</v>
      </c>
      <c r="I504" s="21">
        <v>2</v>
      </c>
      <c r="J504" s="21">
        <v>5</v>
      </c>
      <c r="K504" s="21">
        <v>5</v>
      </c>
      <c r="L504" s="21">
        <v>8</v>
      </c>
      <c r="M504" s="21">
        <v>9</v>
      </c>
      <c r="N504" s="150">
        <f t="shared" si="368"/>
        <v>96</v>
      </c>
      <c r="O504" s="22">
        <f t="shared" si="369"/>
        <v>8</v>
      </c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s="9" customFormat="1" ht="30">
      <c r="A505" s="37" t="s">
        <v>653</v>
      </c>
      <c r="B505" s="21">
        <v>37</v>
      </c>
      <c r="C505" s="21">
        <v>42</v>
      </c>
      <c r="D505" s="21">
        <v>24</v>
      </c>
      <c r="E505" s="21">
        <v>0</v>
      </c>
      <c r="F505" s="21">
        <v>0</v>
      </c>
      <c r="G505" s="21">
        <v>0</v>
      </c>
      <c r="H505" s="21">
        <v>0</v>
      </c>
      <c r="I505" s="21">
        <v>57</v>
      </c>
      <c r="J505" s="21">
        <v>48</v>
      </c>
      <c r="K505" s="21">
        <v>39</v>
      </c>
      <c r="L505" s="21">
        <v>30</v>
      </c>
      <c r="M505" s="21">
        <v>34</v>
      </c>
      <c r="N505" s="150">
        <f t="shared" si="368"/>
        <v>311</v>
      </c>
      <c r="O505" s="22">
        <f t="shared" si="369"/>
        <v>25.916666666666668</v>
      </c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s="9" customFormat="1" ht="14.25" customHeight="1">
      <c r="A506" s="37" t="s">
        <v>118</v>
      </c>
      <c r="B506" s="21">
        <v>0</v>
      </c>
      <c r="C506" s="21">
        <v>0</v>
      </c>
      <c r="D506" s="21">
        <v>0</v>
      </c>
      <c r="E506" s="21">
        <v>0</v>
      </c>
      <c r="F506" s="21">
        <v>0</v>
      </c>
      <c r="G506" s="21">
        <v>0</v>
      </c>
      <c r="H506" s="21">
        <v>0</v>
      </c>
      <c r="I506" s="21">
        <v>0</v>
      </c>
      <c r="J506" s="21">
        <v>0</v>
      </c>
      <c r="K506" s="21">
        <v>0</v>
      </c>
      <c r="L506" s="21">
        <v>0</v>
      </c>
      <c r="M506" s="21">
        <v>0</v>
      </c>
      <c r="N506" s="150">
        <f t="shared" si="368"/>
        <v>0</v>
      </c>
      <c r="O506" s="22">
        <f t="shared" si="369"/>
        <v>0</v>
      </c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s="9" customFormat="1" ht="15.75">
      <c r="A507" s="37" t="s">
        <v>22</v>
      </c>
      <c r="B507" s="21">
        <v>0</v>
      </c>
      <c r="C507" s="21">
        <v>0</v>
      </c>
      <c r="D507" s="21">
        <v>0</v>
      </c>
      <c r="E507" s="21">
        <v>0</v>
      </c>
      <c r="F507" s="21">
        <v>0</v>
      </c>
      <c r="G507" s="21">
        <v>0</v>
      </c>
      <c r="H507" s="21">
        <v>0</v>
      </c>
      <c r="I507" s="21">
        <v>0</v>
      </c>
      <c r="J507" s="21">
        <v>0</v>
      </c>
      <c r="K507" s="21">
        <v>0</v>
      </c>
      <c r="L507" s="21">
        <v>0</v>
      </c>
      <c r="M507" s="21">
        <v>0</v>
      </c>
      <c r="N507" s="150">
        <f t="shared" si="368"/>
        <v>0</v>
      </c>
      <c r="O507" s="22">
        <f t="shared" si="369"/>
        <v>0</v>
      </c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s="9" customFormat="1" ht="15.75">
      <c r="A508" s="62" t="s">
        <v>21</v>
      </c>
      <c r="B508" s="24">
        <f t="shared" ref="B508:C508" si="370">SUM(B502:B507)</f>
        <v>5236</v>
      </c>
      <c r="C508" s="24">
        <f t="shared" si="370"/>
        <v>5301</v>
      </c>
      <c r="D508" s="24">
        <f t="shared" ref="D508:M508" si="371">SUM(D502:D507)</f>
        <v>4811</v>
      </c>
      <c r="E508" s="24">
        <f t="shared" si="371"/>
        <v>3726</v>
      </c>
      <c r="F508" s="24">
        <f t="shared" si="371"/>
        <v>3572</v>
      </c>
      <c r="G508" s="24">
        <f t="shared" si="371"/>
        <v>3454</v>
      </c>
      <c r="H508" s="24">
        <f t="shared" si="371"/>
        <v>4753</v>
      </c>
      <c r="I508" s="24">
        <f t="shared" si="371"/>
        <v>6117</v>
      </c>
      <c r="J508" s="24">
        <f t="shared" si="371"/>
        <v>5902</v>
      </c>
      <c r="K508" s="24">
        <f t="shared" si="371"/>
        <v>5833</v>
      </c>
      <c r="L508" s="24">
        <f t="shared" si="371"/>
        <v>3691</v>
      </c>
      <c r="M508" s="24">
        <f t="shared" si="371"/>
        <v>5360</v>
      </c>
      <c r="N508" s="144">
        <f>SUM(N502:N507)</f>
        <v>57756</v>
      </c>
      <c r="O508" s="25">
        <f>SUM(O502:O507)</f>
        <v>4813</v>
      </c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s="9" customFormat="1">
      <c r="A509" s="26"/>
      <c r="B509" s="27"/>
      <c r="C509" s="27"/>
      <c r="D509" s="27"/>
      <c r="E509" s="28"/>
      <c r="F509" s="28"/>
      <c r="G509" s="28"/>
      <c r="H509" s="28"/>
      <c r="I509" s="28"/>
      <c r="J509" s="28"/>
      <c r="K509" s="28"/>
      <c r="L509" s="28"/>
      <c r="M509" s="28"/>
      <c r="N509" s="151"/>
      <c r="O509" s="16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s="9" customFormat="1" ht="15.75">
      <c r="A510" s="66" t="s">
        <v>399</v>
      </c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49"/>
      <c r="O510" s="19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s="9" customFormat="1" ht="15.75">
      <c r="A511" s="37" t="s">
        <v>114</v>
      </c>
      <c r="B511" s="21">
        <v>265</v>
      </c>
      <c r="C511" s="21">
        <v>256</v>
      </c>
      <c r="D511" s="21">
        <v>231</v>
      </c>
      <c r="E511" s="21">
        <v>129</v>
      </c>
      <c r="F511" s="21">
        <v>106</v>
      </c>
      <c r="G511" s="21">
        <v>235</v>
      </c>
      <c r="H511" s="21">
        <v>387</v>
      </c>
      <c r="I511" s="21">
        <v>450</v>
      </c>
      <c r="J511" s="87">
        <v>361</v>
      </c>
      <c r="K511" s="21">
        <v>290</v>
      </c>
      <c r="L511" s="21">
        <v>171</v>
      </c>
      <c r="M511" s="21">
        <v>205</v>
      </c>
      <c r="N511" s="150">
        <f>SUM(B511:M511)</f>
        <v>3086</v>
      </c>
      <c r="O511" s="22">
        <f>IF(N511=0,0,AVERAGE(B511:M511))</f>
        <v>257.16666666666669</v>
      </c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s="9" customFormat="1" ht="15.75">
      <c r="A512" s="37" t="s">
        <v>119</v>
      </c>
      <c r="B512" s="21">
        <v>2733</v>
      </c>
      <c r="C512" s="21">
        <v>2258</v>
      </c>
      <c r="D512" s="21">
        <v>1770</v>
      </c>
      <c r="E512" s="21">
        <v>662</v>
      </c>
      <c r="F512" s="21">
        <v>839</v>
      </c>
      <c r="G512" s="21">
        <v>910</v>
      </c>
      <c r="H512" s="21">
        <v>1189</v>
      </c>
      <c r="I512" s="21">
        <v>2130</v>
      </c>
      <c r="J512" s="87">
        <v>1866</v>
      </c>
      <c r="K512" s="21">
        <v>2540</v>
      </c>
      <c r="L512" s="21">
        <v>1938</v>
      </c>
      <c r="M512" s="21">
        <v>1700</v>
      </c>
      <c r="N512" s="150">
        <f>SUM(B512:M512)</f>
        <v>20535</v>
      </c>
      <c r="O512" s="22">
        <f>IF(N512=0,0,AVERAGE(B512:M512))</f>
        <v>1711.25</v>
      </c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s="9" customFormat="1" ht="15.75">
      <c r="A513" s="40" t="s">
        <v>18</v>
      </c>
      <c r="B513" s="21">
        <v>126</v>
      </c>
      <c r="C513" s="21">
        <v>123</v>
      </c>
      <c r="D513" s="21">
        <v>41</v>
      </c>
      <c r="E513" s="21">
        <v>34</v>
      </c>
      <c r="F513" s="21">
        <v>122</v>
      </c>
      <c r="G513" s="21">
        <v>167</v>
      </c>
      <c r="H513" s="21">
        <v>180</v>
      </c>
      <c r="I513" s="21">
        <v>121</v>
      </c>
      <c r="J513" s="21">
        <v>108</v>
      </c>
      <c r="K513" s="21">
        <v>84</v>
      </c>
      <c r="L513" s="21">
        <v>83</v>
      </c>
      <c r="M513" s="21">
        <v>144</v>
      </c>
      <c r="N513" s="150">
        <f t="shared" ref="N513:N516" si="372">SUM(B513:M513)</f>
        <v>1333</v>
      </c>
      <c r="O513" s="22">
        <f t="shared" ref="O513:O516" si="373">IF(N513=0,0,AVERAGE(B513:M513))</f>
        <v>111.08333333333333</v>
      </c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s="9" customFormat="1" ht="15.75">
      <c r="A514" s="37" t="s">
        <v>19</v>
      </c>
      <c r="B514" s="21">
        <v>509</v>
      </c>
      <c r="C514" s="21">
        <v>565</v>
      </c>
      <c r="D514" s="21">
        <v>607</v>
      </c>
      <c r="E514" s="21">
        <v>505</v>
      </c>
      <c r="F514" s="21">
        <v>459</v>
      </c>
      <c r="G514" s="21">
        <v>532</v>
      </c>
      <c r="H514" s="21">
        <v>442</v>
      </c>
      <c r="I514" s="21">
        <v>363</v>
      </c>
      <c r="J514" s="21">
        <v>453</v>
      </c>
      <c r="K514" s="21">
        <f>408</f>
        <v>408</v>
      </c>
      <c r="L514" s="21">
        <v>265</v>
      </c>
      <c r="M514" s="21">
        <v>213</v>
      </c>
      <c r="N514" s="150">
        <f t="shared" si="372"/>
        <v>5321</v>
      </c>
      <c r="O514" s="22">
        <f t="shared" si="373"/>
        <v>443.41666666666669</v>
      </c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s="9" customFormat="1" ht="15.75">
      <c r="A515" s="37" t="s">
        <v>30</v>
      </c>
      <c r="B515" s="21">
        <v>494</v>
      </c>
      <c r="C515" s="21">
        <v>480</v>
      </c>
      <c r="D515" s="21">
        <v>485</v>
      </c>
      <c r="E515" s="21">
        <v>362</v>
      </c>
      <c r="F515" s="21">
        <v>243</v>
      </c>
      <c r="G515" s="21">
        <v>378</v>
      </c>
      <c r="H515" s="21">
        <v>411</v>
      </c>
      <c r="I515" s="21">
        <v>558</v>
      </c>
      <c r="J515" s="21">
        <v>735</v>
      </c>
      <c r="K515" s="21">
        <v>659</v>
      </c>
      <c r="L515" s="21">
        <v>524</v>
      </c>
      <c r="M515" s="21">
        <v>533</v>
      </c>
      <c r="N515" s="150">
        <f>SUM(B515:M515)</f>
        <v>5862</v>
      </c>
      <c r="O515" s="22">
        <f>IF(N515=0,0,AVERAGE(B515:M515))</f>
        <v>488.5</v>
      </c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s="9" customFormat="1" ht="15.75">
      <c r="A516" s="40" t="s">
        <v>43</v>
      </c>
      <c r="B516" s="21">
        <v>966</v>
      </c>
      <c r="C516" s="21">
        <v>988</v>
      </c>
      <c r="D516" s="21">
        <v>1112</v>
      </c>
      <c r="E516" s="21">
        <v>886</v>
      </c>
      <c r="F516" s="21">
        <v>858</v>
      </c>
      <c r="G516" s="21">
        <v>707</v>
      </c>
      <c r="H516" s="21">
        <v>843</v>
      </c>
      <c r="I516" s="21">
        <v>1035</v>
      </c>
      <c r="J516" s="21">
        <v>948</v>
      </c>
      <c r="K516" s="21">
        <v>669</v>
      </c>
      <c r="L516" s="21">
        <v>171</v>
      </c>
      <c r="M516" s="21">
        <v>549</v>
      </c>
      <c r="N516" s="150">
        <f t="shared" si="372"/>
        <v>9732</v>
      </c>
      <c r="O516" s="22">
        <f t="shared" si="373"/>
        <v>811</v>
      </c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s="9" customFormat="1" ht="15.75">
      <c r="A517" s="62" t="s">
        <v>21</v>
      </c>
      <c r="B517" s="24">
        <f t="shared" ref="B517:M517" si="374">SUM(B511:B516)</f>
        <v>5093</v>
      </c>
      <c r="C517" s="24">
        <f t="shared" si="374"/>
        <v>4670</v>
      </c>
      <c r="D517" s="24">
        <f t="shared" si="374"/>
        <v>4246</v>
      </c>
      <c r="E517" s="24">
        <f t="shared" si="374"/>
        <v>2578</v>
      </c>
      <c r="F517" s="24">
        <f t="shared" si="374"/>
        <v>2627</v>
      </c>
      <c r="G517" s="24">
        <f t="shared" si="374"/>
        <v>2929</v>
      </c>
      <c r="H517" s="24">
        <f t="shared" si="374"/>
        <v>3452</v>
      </c>
      <c r="I517" s="24">
        <f t="shared" si="374"/>
        <v>4657</v>
      </c>
      <c r="J517" s="24">
        <f t="shared" si="374"/>
        <v>4471</v>
      </c>
      <c r="K517" s="24">
        <f t="shared" si="374"/>
        <v>4650</v>
      </c>
      <c r="L517" s="24">
        <f t="shared" si="374"/>
        <v>3152</v>
      </c>
      <c r="M517" s="24">
        <f t="shared" si="374"/>
        <v>3344</v>
      </c>
      <c r="N517" s="144">
        <f>SUM(N511:N516)</f>
        <v>45869</v>
      </c>
      <c r="O517" s="25">
        <f>AVERAGE(O511:O516)</f>
        <v>637.06944444444446</v>
      </c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s="9" customFormat="1" ht="15.75">
      <c r="A518" s="26"/>
      <c r="B518" s="27"/>
      <c r="C518" s="27"/>
      <c r="D518" s="27"/>
      <c r="E518" s="28"/>
      <c r="F518" s="28"/>
      <c r="G518" s="28"/>
      <c r="H518" s="28"/>
      <c r="I518" s="28"/>
      <c r="J518" s="28"/>
      <c r="K518" s="28"/>
      <c r="L518" s="28"/>
      <c r="M518" s="28"/>
      <c r="N518" s="151"/>
      <c r="O518" s="57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s="9" customFormat="1" ht="15.75">
      <c r="A519" s="17" t="s">
        <v>400</v>
      </c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49"/>
      <c r="O519" s="19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s="9" customFormat="1" ht="15.75">
      <c r="A520" s="66" t="s">
        <v>401</v>
      </c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49"/>
      <c r="O520" s="19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s="9" customFormat="1" ht="15.75">
      <c r="A521" s="37" t="s">
        <v>120</v>
      </c>
      <c r="B521" s="21">
        <f t="shared" ref="B521:C521" si="375">B546+B553</f>
        <v>2845</v>
      </c>
      <c r="C521" s="21">
        <f t="shared" si="375"/>
        <v>2612</v>
      </c>
      <c r="D521" s="21">
        <f t="shared" ref="D521:E521" si="376">D546+D553</f>
        <v>2314</v>
      </c>
      <c r="E521" s="21">
        <f t="shared" si="376"/>
        <v>967</v>
      </c>
      <c r="F521" s="21">
        <f t="shared" ref="F521:G521" si="377">F546+F553</f>
        <v>794</v>
      </c>
      <c r="G521" s="21">
        <f t="shared" si="377"/>
        <v>1899</v>
      </c>
      <c r="H521" s="21">
        <f t="shared" ref="H521:I521" si="378">H546+H553</f>
        <v>2635</v>
      </c>
      <c r="I521" s="21">
        <f t="shared" si="378"/>
        <v>2870</v>
      </c>
      <c r="J521" s="21">
        <f>J546+J553</f>
        <v>2961</v>
      </c>
      <c r="K521" s="21">
        <f>K546+K553</f>
        <v>2916</v>
      </c>
      <c r="L521" s="21">
        <f>L546+L553</f>
        <v>3196</v>
      </c>
      <c r="M521" s="21">
        <f>M546+M553</f>
        <v>2815</v>
      </c>
      <c r="N521" s="150">
        <f>SUM(B521:M521)</f>
        <v>28824</v>
      </c>
      <c r="O521" s="22">
        <f>IF(N521=0,0,AVERAGE(B521:M521))</f>
        <v>2402</v>
      </c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s="9" customFormat="1" ht="15.75">
      <c r="A522" s="40" t="s">
        <v>95</v>
      </c>
      <c r="B522" s="21">
        <f t="shared" ref="B522:C522" si="379">B558</f>
        <v>204</v>
      </c>
      <c r="C522" s="21">
        <f t="shared" si="379"/>
        <v>163</v>
      </c>
      <c r="D522" s="21">
        <f t="shared" ref="D522:E522" si="380">D558</f>
        <v>159</v>
      </c>
      <c r="E522" s="21">
        <f t="shared" si="380"/>
        <v>85</v>
      </c>
      <c r="F522" s="21">
        <f t="shared" ref="F522:G522" si="381">F558</f>
        <v>39</v>
      </c>
      <c r="G522" s="21">
        <f t="shared" si="381"/>
        <v>91</v>
      </c>
      <c r="H522" s="21">
        <f t="shared" ref="H522:I522" si="382">H558</f>
        <v>149</v>
      </c>
      <c r="I522" s="21">
        <f t="shared" si="382"/>
        <v>196</v>
      </c>
      <c r="J522" s="21">
        <f t="shared" ref="J522:K522" si="383">J558</f>
        <v>149</v>
      </c>
      <c r="K522" s="21">
        <f t="shared" si="383"/>
        <v>161</v>
      </c>
      <c r="L522" s="21">
        <f t="shared" ref="L522:M522" si="384">L558</f>
        <v>173</v>
      </c>
      <c r="M522" s="21">
        <f t="shared" si="384"/>
        <v>174</v>
      </c>
      <c r="N522" s="150">
        <f>SUM(B522:M522)</f>
        <v>1743</v>
      </c>
      <c r="O522" s="22">
        <f>IF(N522=0,0,AVERAGE(B522:M522))</f>
        <v>145.25</v>
      </c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s="9" customFormat="1" ht="15.75">
      <c r="A523" s="62" t="s">
        <v>21</v>
      </c>
      <c r="B523" s="24">
        <f t="shared" ref="B523:G523" si="385">IFERROR(SUM(B521:B522),"")</f>
        <v>3049</v>
      </c>
      <c r="C523" s="24">
        <f t="shared" si="385"/>
        <v>2775</v>
      </c>
      <c r="D523" s="24">
        <f t="shared" si="385"/>
        <v>2473</v>
      </c>
      <c r="E523" s="24">
        <f t="shared" si="385"/>
        <v>1052</v>
      </c>
      <c r="F523" s="24">
        <f t="shared" si="385"/>
        <v>833</v>
      </c>
      <c r="G523" s="24">
        <f t="shared" si="385"/>
        <v>1990</v>
      </c>
      <c r="H523" s="24">
        <f t="shared" ref="H523:J523" si="386">IFERROR(SUM(H521:H522),"")</f>
        <v>2784</v>
      </c>
      <c r="I523" s="24">
        <f t="shared" si="386"/>
        <v>3066</v>
      </c>
      <c r="J523" s="24">
        <f t="shared" si="386"/>
        <v>3110</v>
      </c>
      <c r="K523" s="24">
        <f t="shared" ref="K523:L523" si="387">IFERROR(SUM(K521:K522),"")</f>
        <v>3077</v>
      </c>
      <c r="L523" s="24">
        <f t="shared" si="387"/>
        <v>3369</v>
      </c>
      <c r="M523" s="24">
        <f t="shared" ref="M523" si="388">IFERROR(SUM(M521:M522),"")</f>
        <v>2989</v>
      </c>
      <c r="N523" s="144">
        <f>SUM(N521:N522)</f>
        <v>30567</v>
      </c>
      <c r="O523" s="25">
        <f>SUM(O521:O522)</f>
        <v>2547.25</v>
      </c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s="9" customFormat="1" ht="15.75">
      <c r="A524" s="80" t="s">
        <v>121</v>
      </c>
      <c r="B524" s="25">
        <f t="shared" ref="B524:G524" si="389">IF(B523=0,"",B523/B$1870)</f>
        <v>98.354838709677423</v>
      </c>
      <c r="C524" s="25">
        <f t="shared" si="389"/>
        <v>99.107142857142861</v>
      </c>
      <c r="D524" s="25">
        <f t="shared" si="389"/>
        <v>79.774193548387103</v>
      </c>
      <c r="E524" s="25">
        <f t="shared" si="389"/>
        <v>35.06666666666667</v>
      </c>
      <c r="F524" s="25">
        <f t="shared" si="389"/>
        <v>26.870967741935484</v>
      </c>
      <c r="G524" s="25">
        <f t="shared" si="389"/>
        <v>66.333333333333329</v>
      </c>
      <c r="H524" s="25">
        <f t="shared" ref="H524:J524" si="390">IF(H523=0,"",H523/H$1870)</f>
        <v>89.806451612903231</v>
      </c>
      <c r="I524" s="25">
        <f t="shared" si="390"/>
        <v>98.903225806451616</v>
      </c>
      <c r="J524" s="25">
        <f t="shared" si="390"/>
        <v>103.66666666666667</v>
      </c>
      <c r="K524" s="25">
        <f t="shared" ref="K524:L524" si="391">IF(K523=0,"",K523/K$1870)</f>
        <v>99.258064516129039</v>
      </c>
      <c r="L524" s="25">
        <f t="shared" si="391"/>
        <v>112.3</v>
      </c>
      <c r="M524" s="25">
        <f t="shared" ref="M524" si="392">IF(M523=0,"",M523/M$1870)</f>
        <v>96.41935483870968</v>
      </c>
      <c r="N524" s="144">
        <f>SUM(B524:M524)</f>
        <v>1005.860906298003</v>
      </c>
      <c r="O524" s="25">
        <f>IF(N524=0,0,AVERAGE(B524:M524))</f>
        <v>83.821742191500249</v>
      </c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s="9" customFormat="1">
      <c r="A525" s="26"/>
      <c r="B525" s="27"/>
      <c r="C525" s="27"/>
      <c r="D525" s="27"/>
      <c r="E525" s="28"/>
      <c r="F525" s="28"/>
      <c r="G525" s="28"/>
      <c r="H525" s="28"/>
      <c r="I525" s="28"/>
      <c r="J525" s="28"/>
      <c r="K525" s="28"/>
      <c r="L525" s="28"/>
      <c r="M525" s="28"/>
      <c r="N525" s="151"/>
      <c r="O525" s="16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s="9" customFormat="1" ht="15.75">
      <c r="A526" s="66" t="s">
        <v>402</v>
      </c>
      <c r="B526" s="200"/>
      <c r="C526" s="200"/>
      <c r="D526" s="200"/>
      <c r="E526" s="200"/>
      <c r="F526" s="200"/>
      <c r="G526" s="200"/>
      <c r="H526" s="200"/>
      <c r="I526" s="200"/>
      <c r="J526" s="200"/>
      <c r="K526" s="200"/>
      <c r="L526" s="200"/>
      <c r="M526" s="200"/>
      <c r="N526" s="165"/>
      <c r="O526" s="82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s="9" customFormat="1" ht="15.75">
      <c r="A527" s="232" t="s">
        <v>123</v>
      </c>
      <c r="B527" s="38">
        <v>131</v>
      </c>
      <c r="C527" s="38">
        <v>125</v>
      </c>
      <c r="D527" s="38">
        <v>99</v>
      </c>
      <c r="E527" s="38">
        <v>48</v>
      </c>
      <c r="F527" s="38">
        <v>45</v>
      </c>
      <c r="G527" s="38">
        <v>68</v>
      </c>
      <c r="H527" s="38">
        <v>100</v>
      </c>
      <c r="I527" s="38">
        <v>121</v>
      </c>
      <c r="J527" s="38">
        <v>111</v>
      </c>
      <c r="K527" s="38">
        <v>107</v>
      </c>
      <c r="L527" s="38">
        <v>104</v>
      </c>
      <c r="M527" s="38">
        <v>91</v>
      </c>
      <c r="N527" s="199">
        <f t="shared" ref="N527:N545" si="393">SUM(B527:M527)</f>
        <v>1150</v>
      </c>
      <c r="O527" s="22">
        <f t="shared" ref="O527:O545" si="394">IF(N527=0,0,AVERAGE(B527:M527))</f>
        <v>95.833333333333329</v>
      </c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s="9" customFormat="1" ht="15.75">
      <c r="A528" s="232" t="s">
        <v>29</v>
      </c>
      <c r="B528" s="38">
        <v>204</v>
      </c>
      <c r="C528" s="38">
        <v>187</v>
      </c>
      <c r="D528" s="38">
        <v>169</v>
      </c>
      <c r="E528" s="38">
        <v>92</v>
      </c>
      <c r="F528" s="38">
        <v>70</v>
      </c>
      <c r="G528" s="38">
        <v>146</v>
      </c>
      <c r="H528" s="38">
        <v>187</v>
      </c>
      <c r="I528" s="38">
        <v>196</v>
      </c>
      <c r="J528" s="38">
        <v>193</v>
      </c>
      <c r="K528" s="38">
        <v>215</v>
      </c>
      <c r="L528" s="38">
        <v>195</v>
      </c>
      <c r="M528" s="38">
        <v>173</v>
      </c>
      <c r="N528" s="199">
        <f>SUM(B528:M528)</f>
        <v>2027</v>
      </c>
      <c r="O528" s="22">
        <f>IF(N528=0,0,AVERAGE(B528:M528))</f>
        <v>168.91666666666666</v>
      </c>
    </row>
    <row r="529" spans="1:26" s="9" customFormat="1" ht="15.75">
      <c r="A529" s="232" t="s">
        <v>26</v>
      </c>
      <c r="B529" s="38">
        <v>108</v>
      </c>
      <c r="C529" s="38">
        <v>116</v>
      </c>
      <c r="D529" s="38">
        <v>77</v>
      </c>
      <c r="E529" s="38">
        <v>49</v>
      </c>
      <c r="F529" s="38">
        <v>29</v>
      </c>
      <c r="G529" s="38">
        <v>59</v>
      </c>
      <c r="H529" s="38">
        <v>99</v>
      </c>
      <c r="I529" s="38">
        <v>110</v>
      </c>
      <c r="J529" s="38">
        <v>289</v>
      </c>
      <c r="K529" s="38">
        <v>471</v>
      </c>
      <c r="L529" s="38">
        <v>288</v>
      </c>
      <c r="M529" s="38">
        <v>272</v>
      </c>
      <c r="N529" s="199">
        <f t="shared" si="393"/>
        <v>1967</v>
      </c>
      <c r="O529" s="22">
        <f t="shared" si="394"/>
        <v>163.91666666666666</v>
      </c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s="9" customFormat="1" ht="15.75">
      <c r="A530" s="232" t="s">
        <v>321</v>
      </c>
      <c r="B530" s="38">
        <v>71</v>
      </c>
      <c r="C530" s="38">
        <v>64</v>
      </c>
      <c r="D530" s="38">
        <v>60</v>
      </c>
      <c r="E530" s="38">
        <v>43</v>
      </c>
      <c r="F530" s="38">
        <v>20</v>
      </c>
      <c r="G530" s="38">
        <v>48</v>
      </c>
      <c r="H530" s="38">
        <v>87</v>
      </c>
      <c r="I530" s="38">
        <v>58</v>
      </c>
      <c r="J530" s="38">
        <v>68</v>
      </c>
      <c r="K530" s="38">
        <v>95</v>
      </c>
      <c r="L530" s="38">
        <v>191</v>
      </c>
      <c r="M530" s="38">
        <v>116</v>
      </c>
      <c r="N530" s="199">
        <f t="shared" si="393"/>
        <v>921</v>
      </c>
      <c r="O530" s="22">
        <f t="shared" si="394"/>
        <v>76.75</v>
      </c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s="9" customFormat="1" ht="15.75">
      <c r="A531" s="233" t="s">
        <v>25</v>
      </c>
      <c r="B531" s="38">
        <v>202</v>
      </c>
      <c r="C531" s="38">
        <v>190</v>
      </c>
      <c r="D531" s="38">
        <v>171</v>
      </c>
      <c r="E531" s="38">
        <v>66</v>
      </c>
      <c r="F531" s="38">
        <v>40</v>
      </c>
      <c r="G531" s="38">
        <v>87</v>
      </c>
      <c r="H531" s="38">
        <v>142</v>
      </c>
      <c r="I531" s="38">
        <v>157</v>
      </c>
      <c r="J531" s="38">
        <v>145</v>
      </c>
      <c r="K531" s="38">
        <v>175</v>
      </c>
      <c r="L531" s="38">
        <v>417</v>
      </c>
      <c r="M531" s="38">
        <v>383</v>
      </c>
      <c r="N531" s="199">
        <f t="shared" si="393"/>
        <v>2175</v>
      </c>
      <c r="O531" s="22">
        <f t="shared" si="394"/>
        <v>181.25</v>
      </c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s="9" customFormat="1" ht="15.75">
      <c r="A532" s="234" t="s">
        <v>27</v>
      </c>
      <c r="B532" s="38">
        <v>124</v>
      </c>
      <c r="C532" s="38">
        <v>26</v>
      </c>
      <c r="D532" s="38">
        <v>83</v>
      </c>
      <c r="E532" s="38">
        <v>34</v>
      </c>
      <c r="F532" s="38">
        <v>28</v>
      </c>
      <c r="G532" s="38">
        <v>66</v>
      </c>
      <c r="H532" s="38">
        <v>45</v>
      </c>
      <c r="I532" s="38">
        <v>74</v>
      </c>
      <c r="J532" s="38">
        <v>45</v>
      </c>
      <c r="K532" s="38">
        <v>58</v>
      </c>
      <c r="L532" s="38">
        <v>87</v>
      </c>
      <c r="M532" s="38">
        <v>76</v>
      </c>
      <c r="N532" s="199">
        <f t="shared" si="393"/>
        <v>746</v>
      </c>
      <c r="O532" s="22">
        <f t="shared" si="394"/>
        <v>62.166666666666664</v>
      </c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s="9" customFormat="1" ht="15.75">
      <c r="A533" s="234" t="s">
        <v>101</v>
      </c>
      <c r="B533" s="38">
        <v>55</v>
      </c>
      <c r="C533" s="38">
        <v>33</v>
      </c>
      <c r="D533" s="38">
        <v>43</v>
      </c>
      <c r="E533" s="38">
        <v>18</v>
      </c>
      <c r="F533" s="38">
        <v>31</v>
      </c>
      <c r="G533" s="38">
        <v>67</v>
      </c>
      <c r="H533" s="38">
        <v>67</v>
      </c>
      <c r="I533" s="38">
        <v>65</v>
      </c>
      <c r="J533" s="38">
        <v>73</v>
      </c>
      <c r="K533" s="38">
        <v>0</v>
      </c>
      <c r="L533" s="38">
        <v>0</v>
      </c>
      <c r="M533" s="38">
        <v>0</v>
      </c>
      <c r="N533" s="199">
        <f t="shared" si="393"/>
        <v>452</v>
      </c>
      <c r="O533" s="22">
        <f t="shared" si="394"/>
        <v>37.666666666666664</v>
      </c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s="9" customFormat="1" ht="15.75">
      <c r="A534" s="235" t="s">
        <v>19</v>
      </c>
      <c r="B534" s="38">
        <v>223</v>
      </c>
      <c r="C534" s="38">
        <v>203</v>
      </c>
      <c r="D534" s="38">
        <v>165</v>
      </c>
      <c r="E534" s="38">
        <v>88</v>
      </c>
      <c r="F534" s="38">
        <v>74</v>
      </c>
      <c r="G534" s="38">
        <v>166</v>
      </c>
      <c r="H534" s="38">
        <v>194</v>
      </c>
      <c r="I534" s="38">
        <v>201</v>
      </c>
      <c r="J534" s="38">
        <v>240</v>
      </c>
      <c r="K534" s="38">
        <v>0</v>
      </c>
      <c r="L534" s="38">
        <v>0</v>
      </c>
      <c r="M534" s="38">
        <v>0</v>
      </c>
      <c r="N534" s="199">
        <f t="shared" si="393"/>
        <v>1554</v>
      </c>
      <c r="O534" s="22">
        <f t="shared" si="394"/>
        <v>129.5</v>
      </c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s="9" customFormat="1" ht="15.75">
      <c r="A535" s="235" t="s">
        <v>28</v>
      </c>
      <c r="B535" s="38">
        <v>148</v>
      </c>
      <c r="C535" s="38">
        <v>144</v>
      </c>
      <c r="D535" s="38">
        <v>134</v>
      </c>
      <c r="E535" s="38">
        <v>65</v>
      </c>
      <c r="F535" s="38">
        <v>52</v>
      </c>
      <c r="G535" s="38">
        <v>99</v>
      </c>
      <c r="H535" s="38">
        <v>144</v>
      </c>
      <c r="I535" s="38">
        <v>161</v>
      </c>
      <c r="J535" s="38">
        <v>121</v>
      </c>
      <c r="K535" s="38">
        <v>145</v>
      </c>
      <c r="L535" s="38">
        <v>157</v>
      </c>
      <c r="M535" s="38">
        <v>123</v>
      </c>
      <c r="N535" s="199">
        <f t="shared" si="393"/>
        <v>1493</v>
      </c>
      <c r="O535" s="22">
        <f t="shared" si="394"/>
        <v>124.41666666666667</v>
      </c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s="9" customFormat="1" ht="15.75">
      <c r="A536" s="235" t="s">
        <v>124</v>
      </c>
      <c r="B536" s="38">
        <v>66</v>
      </c>
      <c r="C536" s="38">
        <v>79</v>
      </c>
      <c r="D536" s="38">
        <v>54</v>
      </c>
      <c r="E536" s="38">
        <v>18</v>
      </c>
      <c r="F536" s="38">
        <v>8</v>
      </c>
      <c r="G536" s="38">
        <v>42</v>
      </c>
      <c r="H536" s="38">
        <v>43</v>
      </c>
      <c r="I536" s="38">
        <v>66</v>
      </c>
      <c r="J536" s="38">
        <v>74</v>
      </c>
      <c r="K536" s="38">
        <v>0</v>
      </c>
      <c r="L536" s="38">
        <v>0</v>
      </c>
      <c r="M536" s="38">
        <v>0</v>
      </c>
      <c r="N536" s="199">
        <f t="shared" si="393"/>
        <v>450</v>
      </c>
      <c r="O536" s="22">
        <f t="shared" si="394"/>
        <v>37.5</v>
      </c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s="9" customFormat="1" ht="15.75">
      <c r="A537" s="236" t="s">
        <v>31</v>
      </c>
      <c r="B537" s="38">
        <v>655</v>
      </c>
      <c r="C537" s="38">
        <v>623</v>
      </c>
      <c r="D537" s="38">
        <v>558</v>
      </c>
      <c r="E537" s="38">
        <v>118</v>
      </c>
      <c r="F537" s="38">
        <v>143</v>
      </c>
      <c r="G537" s="38">
        <v>491</v>
      </c>
      <c r="H537" s="38">
        <v>816</v>
      </c>
      <c r="I537" s="38">
        <v>901</v>
      </c>
      <c r="J537" s="38">
        <v>794</v>
      </c>
      <c r="K537" s="38">
        <v>750</v>
      </c>
      <c r="L537" s="38">
        <v>845</v>
      </c>
      <c r="M537" s="38">
        <v>682</v>
      </c>
      <c r="N537" s="199">
        <f t="shared" si="393"/>
        <v>7376</v>
      </c>
      <c r="O537" s="22">
        <f t="shared" si="394"/>
        <v>614.66666666666663</v>
      </c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s="9" customFormat="1" ht="15.75">
      <c r="A538" s="232" t="s">
        <v>340</v>
      </c>
      <c r="B538" s="38">
        <v>80</v>
      </c>
      <c r="C538" s="38">
        <v>107</v>
      </c>
      <c r="D538" s="38">
        <v>76</v>
      </c>
      <c r="E538" s="38">
        <v>36</v>
      </c>
      <c r="F538" s="38">
        <v>26</v>
      </c>
      <c r="G538" s="38">
        <v>44</v>
      </c>
      <c r="H538" s="38">
        <v>79</v>
      </c>
      <c r="I538" s="38">
        <v>72</v>
      </c>
      <c r="J538" s="38">
        <v>74</v>
      </c>
      <c r="K538" s="38">
        <v>74</v>
      </c>
      <c r="L538" s="38">
        <v>0</v>
      </c>
      <c r="M538" s="38">
        <v>0</v>
      </c>
      <c r="N538" s="199">
        <f t="shared" si="393"/>
        <v>668</v>
      </c>
      <c r="O538" s="22">
        <f t="shared" si="394"/>
        <v>55.666666666666664</v>
      </c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s="9" customFormat="1" ht="15.75">
      <c r="A539" s="232" t="s">
        <v>125</v>
      </c>
      <c r="B539" s="38">
        <v>103</v>
      </c>
      <c r="C539" s="38">
        <v>117</v>
      </c>
      <c r="D539" s="38">
        <v>78</v>
      </c>
      <c r="E539" s="38">
        <v>55</v>
      </c>
      <c r="F539" s="38">
        <v>33</v>
      </c>
      <c r="G539" s="38">
        <v>66</v>
      </c>
      <c r="H539" s="38">
        <v>109</v>
      </c>
      <c r="I539" s="38">
        <v>108</v>
      </c>
      <c r="J539" s="38">
        <v>91</v>
      </c>
      <c r="K539" s="38">
        <v>92</v>
      </c>
      <c r="L539" s="38">
        <v>87</v>
      </c>
      <c r="M539" s="38">
        <v>77</v>
      </c>
      <c r="N539" s="199">
        <f t="shared" si="393"/>
        <v>1016</v>
      </c>
      <c r="O539" s="22">
        <f t="shared" si="394"/>
        <v>84.666666666666671</v>
      </c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s="9" customFormat="1" ht="15.75">
      <c r="A540" s="232" t="s">
        <v>904</v>
      </c>
      <c r="B540" s="38">
        <v>0</v>
      </c>
      <c r="C540" s="38">
        <v>0</v>
      </c>
      <c r="D540" s="38">
        <v>0</v>
      </c>
      <c r="E540" s="38">
        <v>0</v>
      </c>
      <c r="F540" s="38">
        <v>0</v>
      </c>
      <c r="G540" s="38">
        <v>0</v>
      </c>
      <c r="H540" s="38">
        <v>0</v>
      </c>
      <c r="I540" s="38">
        <v>0</v>
      </c>
      <c r="J540" s="38">
        <v>0</v>
      </c>
      <c r="K540" s="38">
        <v>0</v>
      </c>
      <c r="L540" s="38">
        <v>14</v>
      </c>
      <c r="M540" s="38">
        <v>13</v>
      </c>
      <c r="N540" s="199">
        <f t="shared" si="393"/>
        <v>27</v>
      </c>
      <c r="O540" s="22">
        <f t="shared" si="394"/>
        <v>2.25</v>
      </c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s="9" customFormat="1" ht="15.75">
      <c r="A541" s="237" t="s">
        <v>389</v>
      </c>
      <c r="B541" s="38">
        <v>36</v>
      </c>
      <c r="C541" s="38">
        <v>28</v>
      </c>
      <c r="D541" s="38">
        <v>30</v>
      </c>
      <c r="E541" s="38">
        <v>23</v>
      </c>
      <c r="F541" s="38">
        <v>0</v>
      </c>
      <c r="G541" s="38">
        <v>16</v>
      </c>
      <c r="H541" s="38">
        <v>31</v>
      </c>
      <c r="I541" s="38">
        <v>34</v>
      </c>
      <c r="J541" s="38">
        <v>16</v>
      </c>
      <c r="K541" s="38">
        <v>0</v>
      </c>
      <c r="L541" s="38">
        <v>0</v>
      </c>
      <c r="M541" s="38">
        <v>0</v>
      </c>
      <c r="N541" s="199">
        <f>SUM(B541:M541)</f>
        <v>214</v>
      </c>
      <c r="O541" s="22">
        <f>IF(N541=0,0,AVERAGE(B541:M541))</f>
        <v>17.833333333333332</v>
      </c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s="9" customFormat="1" ht="15.75">
      <c r="A542" s="237" t="s">
        <v>346</v>
      </c>
      <c r="B542" s="38">
        <v>50</v>
      </c>
      <c r="C542" s="38">
        <v>34</v>
      </c>
      <c r="D542" s="38">
        <v>32</v>
      </c>
      <c r="E542" s="38">
        <v>13</v>
      </c>
      <c r="F542" s="38">
        <v>32</v>
      </c>
      <c r="G542" s="38">
        <v>27</v>
      </c>
      <c r="H542" s="38">
        <v>35</v>
      </c>
      <c r="I542" s="38">
        <v>40</v>
      </c>
      <c r="J542" s="469">
        <v>33</v>
      </c>
      <c r="K542" s="38">
        <v>38</v>
      </c>
      <c r="L542" s="38">
        <v>47</v>
      </c>
      <c r="M542" s="38">
        <v>43</v>
      </c>
      <c r="N542" s="199">
        <f>SUM(B542:M542)</f>
        <v>424</v>
      </c>
      <c r="O542" s="22">
        <f>IF(N542=0,0,AVERAGE(B542:M542))</f>
        <v>35.333333333333336</v>
      </c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s="9" customFormat="1" ht="15.75">
      <c r="A543" s="232" t="s">
        <v>34</v>
      </c>
      <c r="B543" s="38">
        <v>132</v>
      </c>
      <c r="C543" s="38">
        <v>122</v>
      </c>
      <c r="D543" s="38">
        <v>96</v>
      </c>
      <c r="E543" s="38">
        <v>38</v>
      </c>
      <c r="F543" s="38">
        <v>36</v>
      </c>
      <c r="G543" s="38">
        <v>69</v>
      </c>
      <c r="H543" s="38">
        <v>113</v>
      </c>
      <c r="I543" s="38">
        <v>108</v>
      </c>
      <c r="J543" s="38">
        <v>107</v>
      </c>
      <c r="K543" s="38">
        <v>114</v>
      </c>
      <c r="L543" s="38">
        <v>85</v>
      </c>
      <c r="M543" s="38">
        <v>93</v>
      </c>
      <c r="N543" s="199">
        <f t="shared" si="393"/>
        <v>1113</v>
      </c>
      <c r="O543" s="22">
        <f t="shared" si="394"/>
        <v>92.75</v>
      </c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s="9" customFormat="1" ht="15.75">
      <c r="A544" s="237" t="s">
        <v>390</v>
      </c>
      <c r="B544" s="38">
        <v>28</v>
      </c>
      <c r="C544" s="38">
        <v>16</v>
      </c>
      <c r="D544" s="38">
        <v>26</v>
      </c>
      <c r="E544" s="38">
        <v>6</v>
      </c>
      <c r="F544" s="38">
        <v>9</v>
      </c>
      <c r="G544" s="38">
        <v>19</v>
      </c>
      <c r="H544" s="38">
        <v>26</v>
      </c>
      <c r="I544" s="38">
        <v>22</v>
      </c>
      <c r="J544" s="38">
        <v>22</v>
      </c>
      <c r="K544" s="38">
        <v>25</v>
      </c>
      <c r="L544" s="38">
        <v>19</v>
      </c>
      <c r="M544" s="38">
        <v>13</v>
      </c>
      <c r="N544" s="199">
        <f>SUM(B544:M544)</f>
        <v>231</v>
      </c>
      <c r="O544" s="22">
        <f>IF(N544=0,0,AVERAGE(B544:M544))</f>
        <v>19.25</v>
      </c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s="9" customFormat="1" ht="15.75">
      <c r="A545" s="232" t="s">
        <v>35</v>
      </c>
      <c r="B545" s="38">
        <v>167</v>
      </c>
      <c r="C545" s="38">
        <v>153</v>
      </c>
      <c r="D545" s="38">
        <v>156</v>
      </c>
      <c r="E545" s="38">
        <v>126</v>
      </c>
      <c r="F545" s="38">
        <v>108</v>
      </c>
      <c r="G545" s="38">
        <v>129</v>
      </c>
      <c r="H545" s="38">
        <v>147</v>
      </c>
      <c r="I545" s="38">
        <v>177</v>
      </c>
      <c r="J545" s="38">
        <v>182</v>
      </c>
      <c r="K545" s="38">
        <v>221</v>
      </c>
      <c r="L545" s="38">
        <v>239</v>
      </c>
      <c r="M545" s="38">
        <v>202</v>
      </c>
      <c r="N545" s="199">
        <f t="shared" si="393"/>
        <v>2007</v>
      </c>
      <c r="O545" s="22">
        <f t="shared" si="394"/>
        <v>167.25</v>
      </c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s="9" customFormat="1" ht="15.75">
      <c r="A546" s="23" t="s">
        <v>21</v>
      </c>
      <c r="B546" s="124">
        <f t="shared" ref="B546:C546" si="395">SUM(B527:B545)</f>
        <v>2583</v>
      </c>
      <c r="C546" s="124">
        <f t="shared" si="395"/>
        <v>2367</v>
      </c>
      <c r="D546" s="124">
        <f t="shared" ref="D546:E546" si="396">SUM(D527:D545)</f>
        <v>2107</v>
      </c>
      <c r="E546" s="124">
        <f t="shared" si="396"/>
        <v>936</v>
      </c>
      <c r="F546" s="124">
        <f t="shared" ref="F546:G546" si="397">SUM(F527:F545)</f>
        <v>784</v>
      </c>
      <c r="G546" s="124">
        <f t="shared" si="397"/>
        <v>1709</v>
      </c>
      <c r="H546" s="124">
        <f t="shared" ref="H546:K546" si="398">SUM(H527:H545)</f>
        <v>2464</v>
      </c>
      <c r="I546" s="124">
        <f t="shared" si="398"/>
        <v>2671</v>
      </c>
      <c r="J546" s="124">
        <f t="shared" si="398"/>
        <v>2678</v>
      </c>
      <c r="K546" s="124">
        <f t="shared" si="398"/>
        <v>2580</v>
      </c>
      <c r="L546" s="124">
        <f t="shared" ref="L546:M546" si="399">SUM(L527:L545)</f>
        <v>2775</v>
      </c>
      <c r="M546" s="124">
        <f t="shared" si="399"/>
        <v>2357</v>
      </c>
      <c r="N546" s="144">
        <f>SUM(N527:N545)</f>
        <v>26011</v>
      </c>
      <c r="O546" s="25">
        <f>SUM(O527:O545)</f>
        <v>2167.583333333333</v>
      </c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s="9" customFormat="1" ht="15.75">
      <c r="A547" s="23" t="s">
        <v>112</v>
      </c>
      <c r="B547" s="25">
        <f t="shared" ref="B547:G547" si="400">IF(B546=0,"",B546/B$1870)</f>
        <v>83.322580645161295</v>
      </c>
      <c r="C547" s="25">
        <f t="shared" si="400"/>
        <v>84.535714285714292</v>
      </c>
      <c r="D547" s="25">
        <f t="shared" si="400"/>
        <v>67.967741935483872</v>
      </c>
      <c r="E547" s="25">
        <f t="shared" si="400"/>
        <v>31.2</v>
      </c>
      <c r="F547" s="25">
        <f t="shared" si="400"/>
        <v>25.29032258064516</v>
      </c>
      <c r="G547" s="25">
        <f t="shared" si="400"/>
        <v>56.966666666666669</v>
      </c>
      <c r="H547" s="25">
        <f t="shared" ref="H547:K547" si="401">IF(H546=0,"",H546/H$1870)</f>
        <v>79.483870967741936</v>
      </c>
      <c r="I547" s="25">
        <f t="shared" si="401"/>
        <v>86.161290322580641</v>
      </c>
      <c r="J547" s="25">
        <f t="shared" si="401"/>
        <v>89.266666666666666</v>
      </c>
      <c r="K547" s="25">
        <f t="shared" si="401"/>
        <v>83.225806451612897</v>
      </c>
      <c r="L547" s="25">
        <f t="shared" ref="L547:M547" si="402">IF(L546=0,"",L546/L$1870)</f>
        <v>92.5</v>
      </c>
      <c r="M547" s="25">
        <f t="shared" si="402"/>
        <v>76.032258064516128</v>
      </c>
      <c r="N547" s="144">
        <f>SUM(B547:M547)</f>
        <v>855.95291858678956</v>
      </c>
      <c r="O547" s="25">
        <f>IF(N547=0,0,AVERAGE(B547:M547))</f>
        <v>71.329409882232468</v>
      </c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s="9" customFormat="1" ht="15.75">
      <c r="A548" s="26"/>
      <c r="B548" s="27"/>
      <c r="C548" s="27"/>
      <c r="D548" s="27"/>
      <c r="E548" s="28"/>
      <c r="F548" s="28"/>
      <c r="G548" s="28"/>
      <c r="H548" s="28"/>
      <c r="I548" s="28"/>
      <c r="J548" s="28"/>
      <c r="K548" s="28"/>
      <c r="L548" s="28"/>
      <c r="M548" s="28"/>
      <c r="N548" s="151"/>
      <c r="O548" s="29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s="9" customFormat="1" ht="15.75">
      <c r="A549" s="66" t="s">
        <v>432</v>
      </c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49"/>
      <c r="O549" s="19"/>
      <c r="P549" s="83"/>
      <c r="Q549" s="83"/>
      <c r="R549" s="83"/>
      <c r="S549" s="83"/>
      <c r="T549" s="83"/>
      <c r="U549" s="83"/>
      <c r="V549" s="83"/>
      <c r="W549" s="83"/>
      <c r="X549" s="83"/>
      <c r="Y549" s="83"/>
      <c r="Z549" s="83"/>
    </row>
    <row r="550" spans="1:26" s="9" customFormat="1" ht="15.75">
      <c r="A550" s="238" t="s">
        <v>122</v>
      </c>
      <c r="B550" s="87">
        <v>19</v>
      </c>
      <c r="C550" s="87">
        <v>16</v>
      </c>
      <c r="D550" s="21">
        <v>20</v>
      </c>
      <c r="E550" s="21">
        <v>7</v>
      </c>
      <c r="F550" s="21">
        <v>6</v>
      </c>
      <c r="G550" s="21">
        <v>9</v>
      </c>
      <c r="H550" s="21">
        <v>8</v>
      </c>
      <c r="I550" s="21">
        <v>12</v>
      </c>
      <c r="J550" s="21">
        <v>42</v>
      </c>
      <c r="K550" s="21">
        <v>66</v>
      </c>
      <c r="L550" s="21">
        <v>78</v>
      </c>
      <c r="M550" s="21">
        <v>74</v>
      </c>
      <c r="N550" s="150">
        <f>SUM(B550:M550)</f>
        <v>357</v>
      </c>
      <c r="O550" s="22">
        <f>IF(N550=0,0,AVERAGE(B550:M550))</f>
        <v>29.75</v>
      </c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s="9" customFormat="1" ht="15.75">
      <c r="A551" s="238" t="s">
        <v>126</v>
      </c>
      <c r="B551" s="87">
        <v>201</v>
      </c>
      <c r="C551" s="87">
        <v>190</v>
      </c>
      <c r="D551" s="21">
        <v>167</v>
      </c>
      <c r="E551" s="21">
        <v>17</v>
      </c>
      <c r="F551" s="21">
        <v>3</v>
      </c>
      <c r="G551" s="21">
        <v>169</v>
      </c>
      <c r="H551" s="21">
        <v>157</v>
      </c>
      <c r="I551" s="21">
        <v>169</v>
      </c>
      <c r="J551" s="21">
        <v>178</v>
      </c>
      <c r="K551" s="21">
        <v>157</v>
      </c>
      <c r="L551" s="21">
        <v>244</v>
      </c>
      <c r="M551" s="21">
        <v>265</v>
      </c>
      <c r="N551" s="150">
        <f>SUM(B551:M551)</f>
        <v>1917</v>
      </c>
      <c r="O551" s="22">
        <f>IF(N551=0,0,AVERAGE(B551:M551))</f>
        <v>159.75</v>
      </c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s="9" customFormat="1" ht="15.75">
      <c r="A552" s="238" t="s">
        <v>127</v>
      </c>
      <c r="B552" s="87">
        <v>42</v>
      </c>
      <c r="C552" s="87">
        <v>39</v>
      </c>
      <c r="D552" s="21">
        <v>20</v>
      </c>
      <c r="E552" s="21">
        <v>7</v>
      </c>
      <c r="F552" s="21">
        <v>1</v>
      </c>
      <c r="G552" s="21">
        <v>12</v>
      </c>
      <c r="H552" s="21">
        <v>6</v>
      </c>
      <c r="I552" s="21">
        <v>18</v>
      </c>
      <c r="J552" s="21">
        <v>63</v>
      </c>
      <c r="K552" s="21">
        <v>113</v>
      </c>
      <c r="L552" s="21">
        <v>99</v>
      </c>
      <c r="M552" s="21">
        <v>119</v>
      </c>
      <c r="N552" s="150">
        <f>SUM(B552:M552)</f>
        <v>539</v>
      </c>
      <c r="O552" s="22">
        <f>IF(N552=0,0,AVERAGE(B552:M552))</f>
        <v>44.916666666666664</v>
      </c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s="9" customFormat="1" ht="15.75">
      <c r="A553" s="23" t="s">
        <v>21</v>
      </c>
      <c r="B553" s="24">
        <f t="shared" ref="B553:C553" si="403">SUM(B550:B552)</f>
        <v>262</v>
      </c>
      <c r="C553" s="24">
        <f t="shared" si="403"/>
        <v>245</v>
      </c>
      <c r="D553" s="24">
        <f t="shared" ref="D553:E553" si="404">SUM(D550:D552)</f>
        <v>207</v>
      </c>
      <c r="E553" s="24">
        <f t="shared" si="404"/>
        <v>31</v>
      </c>
      <c r="F553" s="24">
        <f t="shared" ref="F553:G553" si="405">SUM(F550:F552)</f>
        <v>10</v>
      </c>
      <c r="G553" s="24">
        <f t="shared" si="405"/>
        <v>190</v>
      </c>
      <c r="H553" s="24">
        <f t="shared" ref="H553:I553" si="406">SUM(H550:H552)</f>
        <v>171</v>
      </c>
      <c r="I553" s="24">
        <f t="shared" si="406"/>
        <v>199</v>
      </c>
      <c r="J553" s="24">
        <f t="shared" ref="J553:K553" si="407">SUM(J550:J552)</f>
        <v>283</v>
      </c>
      <c r="K553" s="24">
        <f t="shared" si="407"/>
        <v>336</v>
      </c>
      <c r="L553" s="24">
        <f t="shared" ref="L553:M553" si="408">SUM(L550:L552)</f>
        <v>421</v>
      </c>
      <c r="M553" s="24">
        <f t="shared" si="408"/>
        <v>458</v>
      </c>
      <c r="N553" s="144">
        <f>SUM(N550:N552)</f>
        <v>2813</v>
      </c>
      <c r="O553" s="25">
        <f>SUM(O550:O552)</f>
        <v>234.41666666666666</v>
      </c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s="9" customFormat="1" ht="15.75">
      <c r="A554" s="23" t="s">
        <v>112</v>
      </c>
      <c r="B554" s="25">
        <f t="shared" ref="B554:G554" si="409">IF(B553=0,"",B553/B$1870)</f>
        <v>8.4516129032258061</v>
      </c>
      <c r="C554" s="25">
        <f t="shared" si="409"/>
        <v>8.75</v>
      </c>
      <c r="D554" s="25">
        <f t="shared" si="409"/>
        <v>6.67741935483871</v>
      </c>
      <c r="E554" s="25">
        <f t="shared" si="409"/>
        <v>1.0333333333333334</v>
      </c>
      <c r="F554" s="25">
        <f t="shared" si="409"/>
        <v>0.32258064516129031</v>
      </c>
      <c r="G554" s="25">
        <f t="shared" si="409"/>
        <v>6.333333333333333</v>
      </c>
      <c r="H554" s="25">
        <f t="shared" ref="H554:I554" si="410">IF(H553=0,"",H553/H$1870)</f>
        <v>5.5161290322580649</v>
      </c>
      <c r="I554" s="25">
        <f t="shared" si="410"/>
        <v>6.419354838709677</v>
      </c>
      <c r="J554" s="25">
        <f t="shared" ref="J554:K554" si="411">IF(J553=0,"",J553/J$1870)</f>
        <v>9.4333333333333336</v>
      </c>
      <c r="K554" s="25">
        <f t="shared" si="411"/>
        <v>10.838709677419354</v>
      </c>
      <c r="L554" s="25">
        <f t="shared" ref="L554:M554" si="412">IF(L553=0,"",L553/L$1870)</f>
        <v>14.033333333333333</v>
      </c>
      <c r="M554" s="25">
        <f t="shared" si="412"/>
        <v>14.774193548387096</v>
      </c>
      <c r="N554" s="144">
        <f>SUM(B554:M554)</f>
        <v>92.583333333333343</v>
      </c>
      <c r="O554" s="25">
        <f>IF(N554=0,0,AVERAGE(B554:M554))</f>
        <v>7.7152777777777786</v>
      </c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s="9" customFormat="1" ht="15.75">
      <c r="A555" s="84"/>
      <c r="B555" s="42"/>
      <c r="C555" s="42"/>
      <c r="D555" s="42"/>
      <c r="E555" s="42"/>
      <c r="F555" s="42"/>
      <c r="G555" s="42"/>
      <c r="H555" s="42"/>
      <c r="I555" s="42"/>
      <c r="J555" s="42"/>
      <c r="K555" s="42"/>
      <c r="L555" s="42"/>
      <c r="M555" s="42"/>
      <c r="N555" s="166"/>
      <c r="O555" s="85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s="9" customFormat="1" ht="15.75">
      <c r="A556" s="66" t="s">
        <v>433</v>
      </c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49"/>
      <c r="O556" s="19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s="9" customFormat="1" ht="15.75">
      <c r="A557" s="32" t="s">
        <v>128</v>
      </c>
      <c r="B557" s="21">
        <v>204</v>
      </c>
      <c r="C557" s="21">
        <v>163</v>
      </c>
      <c r="D557" s="21">
        <v>159</v>
      </c>
      <c r="E557" s="21">
        <v>85</v>
      </c>
      <c r="F557" s="21">
        <v>39</v>
      </c>
      <c r="G557" s="21">
        <v>91</v>
      </c>
      <c r="H557" s="21">
        <v>149</v>
      </c>
      <c r="I557" s="21">
        <v>196</v>
      </c>
      <c r="J557" s="21">
        <v>149</v>
      </c>
      <c r="K557" s="21">
        <v>161</v>
      </c>
      <c r="L557" s="21">
        <v>173</v>
      </c>
      <c r="M557" s="21">
        <v>174</v>
      </c>
      <c r="N557" s="150">
        <f>SUM(B557:M557)</f>
        <v>1743</v>
      </c>
      <c r="O557" s="22">
        <f>IF(N557=0,0,AVERAGE(B557:M557))</f>
        <v>145.25</v>
      </c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s="9" customFormat="1" ht="15.75">
      <c r="A558" s="23" t="s">
        <v>21</v>
      </c>
      <c r="B558" s="24">
        <f t="shared" ref="B558:C558" si="413">SUM(B557:B557)</f>
        <v>204</v>
      </c>
      <c r="C558" s="24">
        <f t="shared" si="413"/>
        <v>163</v>
      </c>
      <c r="D558" s="24">
        <f t="shared" ref="D558:E558" si="414">SUM(D557:D557)</f>
        <v>159</v>
      </c>
      <c r="E558" s="24">
        <f t="shared" si="414"/>
        <v>85</v>
      </c>
      <c r="F558" s="24">
        <f t="shared" ref="F558:G558" si="415">SUM(F557:F557)</f>
        <v>39</v>
      </c>
      <c r="G558" s="24">
        <f t="shared" si="415"/>
        <v>91</v>
      </c>
      <c r="H558" s="24">
        <f t="shared" ref="H558:K558" si="416">SUM(H557:H557)</f>
        <v>149</v>
      </c>
      <c r="I558" s="24">
        <f t="shared" si="416"/>
        <v>196</v>
      </c>
      <c r="J558" s="24">
        <f t="shared" si="416"/>
        <v>149</v>
      </c>
      <c r="K558" s="24">
        <f t="shared" si="416"/>
        <v>161</v>
      </c>
      <c r="L558" s="24">
        <f t="shared" ref="L558:M558" si="417">SUM(L557:L557)</f>
        <v>173</v>
      </c>
      <c r="M558" s="24">
        <f t="shared" si="417"/>
        <v>174</v>
      </c>
      <c r="N558" s="144">
        <f>SUM(N550:N557)</f>
        <v>7461.583333333333</v>
      </c>
      <c r="O558" s="25">
        <f>SUM(O550:O557)</f>
        <v>621.79861111111109</v>
      </c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s="9" customFormat="1" ht="15.75">
      <c r="A559" s="23" t="s">
        <v>112</v>
      </c>
      <c r="B559" s="25">
        <f t="shared" ref="B559:G559" si="418">IF(B558=0,"",B558/B$1870)</f>
        <v>6.580645161290323</v>
      </c>
      <c r="C559" s="25">
        <f t="shared" si="418"/>
        <v>5.8214285714285712</v>
      </c>
      <c r="D559" s="25">
        <f t="shared" si="418"/>
        <v>5.129032258064516</v>
      </c>
      <c r="E559" s="25">
        <f t="shared" si="418"/>
        <v>2.8333333333333335</v>
      </c>
      <c r="F559" s="25">
        <f t="shared" si="418"/>
        <v>1.2580645161290323</v>
      </c>
      <c r="G559" s="25">
        <f t="shared" si="418"/>
        <v>3.0333333333333332</v>
      </c>
      <c r="H559" s="25">
        <f t="shared" ref="H559:K559" si="419">IF(H558=0,"",H558/H$1870)</f>
        <v>4.806451612903226</v>
      </c>
      <c r="I559" s="25">
        <f t="shared" si="419"/>
        <v>6.32258064516129</v>
      </c>
      <c r="J559" s="25">
        <f t="shared" si="419"/>
        <v>4.9666666666666668</v>
      </c>
      <c r="K559" s="25">
        <f t="shared" si="419"/>
        <v>5.193548387096774</v>
      </c>
      <c r="L559" s="25">
        <f t="shared" ref="L559:M559" si="420">IF(L558=0,"",L558/L$1870)</f>
        <v>5.7666666666666666</v>
      </c>
      <c r="M559" s="25">
        <f t="shared" si="420"/>
        <v>5.612903225806452</v>
      </c>
      <c r="N559" s="144">
        <f>SUM(B559:M559)</f>
        <v>57.324654377880179</v>
      </c>
      <c r="O559" s="25">
        <f>IF(N559=0,0,AVERAGE(B559:M559))</f>
        <v>4.7770545314900152</v>
      </c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s="9" customFormat="1" ht="15.75">
      <c r="A560" s="26"/>
      <c r="B560" s="27"/>
      <c r="C560" s="27"/>
      <c r="D560" s="27"/>
      <c r="E560" s="28"/>
      <c r="F560" s="28"/>
      <c r="G560" s="28"/>
      <c r="H560" s="28"/>
      <c r="I560" s="28"/>
      <c r="J560" s="28"/>
      <c r="K560" s="28"/>
      <c r="L560" s="28"/>
      <c r="M560" s="28"/>
      <c r="N560" s="151"/>
      <c r="O560" s="29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s="9" customFormat="1" ht="15.75">
      <c r="A561" s="17" t="s">
        <v>434</v>
      </c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49"/>
      <c r="O561" s="19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s="9" customFormat="1" ht="15.75">
      <c r="A562" s="17" t="s">
        <v>435</v>
      </c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49"/>
      <c r="O562" s="19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s="9" customFormat="1" ht="15.75">
      <c r="A563" s="37" t="s">
        <v>129</v>
      </c>
      <c r="B563" s="21">
        <v>696</v>
      </c>
      <c r="C563" s="21">
        <v>544</v>
      </c>
      <c r="D563" s="21">
        <v>657</v>
      </c>
      <c r="E563" s="21">
        <v>194</v>
      </c>
      <c r="F563" s="21">
        <v>55</v>
      </c>
      <c r="G563" s="21">
        <v>202</v>
      </c>
      <c r="H563" s="21">
        <v>636</v>
      </c>
      <c r="I563" s="21">
        <v>511</v>
      </c>
      <c r="J563" s="87">
        <v>517</v>
      </c>
      <c r="K563" s="87">
        <v>754</v>
      </c>
      <c r="L563" s="21">
        <v>592</v>
      </c>
      <c r="M563" s="21">
        <v>605</v>
      </c>
      <c r="N563" s="150">
        <f>SUM(B563:M563)</f>
        <v>5963</v>
      </c>
      <c r="O563" s="22">
        <f>IF(N563=0,0,AVERAGE(B563:M563))</f>
        <v>496.91666666666669</v>
      </c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s="9" customFormat="1" ht="15.75">
      <c r="A564" s="37" t="s">
        <v>130</v>
      </c>
      <c r="B564" s="21">
        <v>142</v>
      </c>
      <c r="C564" s="21">
        <v>167</v>
      </c>
      <c r="D564" s="21">
        <v>173</v>
      </c>
      <c r="E564" s="21">
        <v>79</v>
      </c>
      <c r="F564" s="21">
        <v>53</v>
      </c>
      <c r="G564" s="21">
        <v>85</v>
      </c>
      <c r="H564" s="21">
        <v>125</v>
      </c>
      <c r="I564" s="21">
        <v>162</v>
      </c>
      <c r="J564" s="87">
        <v>110</v>
      </c>
      <c r="K564" s="87">
        <v>145</v>
      </c>
      <c r="L564" s="21">
        <v>141</v>
      </c>
      <c r="M564" s="21">
        <v>149</v>
      </c>
      <c r="N564" s="150">
        <f>SUM(B564:M564)</f>
        <v>1531</v>
      </c>
      <c r="O564" s="22">
        <f>IF(N564=0,0,AVERAGE(B564:M564))</f>
        <v>127.58333333333333</v>
      </c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s="9" customFormat="1" ht="15.75">
      <c r="A565" s="40" t="s">
        <v>131</v>
      </c>
      <c r="B565" s="21">
        <v>816</v>
      </c>
      <c r="C565" s="21">
        <v>885</v>
      </c>
      <c r="D565" s="21">
        <v>961</v>
      </c>
      <c r="E565" s="21">
        <v>532</v>
      </c>
      <c r="F565" s="21">
        <v>561</v>
      </c>
      <c r="G565" s="21">
        <v>1044</v>
      </c>
      <c r="H565" s="21">
        <v>1099</v>
      </c>
      <c r="I565" s="21">
        <v>677</v>
      </c>
      <c r="J565" s="21">
        <v>933</v>
      </c>
      <c r="K565" s="21">
        <v>681</v>
      </c>
      <c r="L565" s="21">
        <v>870</v>
      </c>
      <c r="M565" s="21">
        <v>898</v>
      </c>
      <c r="N565" s="150">
        <f>SUM(B565:M565)</f>
        <v>9957</v>
      </c>
      <c r="O565" s="22">
        <f>IF(N565=0,0,AVERAGE(B565:M565))</f>
        <v>829.75</v>
      </c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s="9" customFormat="1" ht="15.75">
      <c r="A566" s="40" t="s">
        <v>132</v>
      </c>
      <c r="B566" s="21">
        <v>0</v>
      </c>
      <c r="C566" s="21">
        <v>0</v>
      </c>
      <c r="D566" s="21">
        <v>0</v>
      </c>
      <c r="E566" s="21">
        <v>0</v>
      </c>
      <c r="F566" s="21">
        <v>0</v>
      </c>
      <c r="G566" s="21">
        <v>0</v>
      </c>
      <c r="H566" s="21">
        <v>0</v>
      </c>
      <c r="I566" s="21">
        <v>0</v>
      </c>
      <c r="J566" s="21">
        <v>0</v>
      </c>
      <c r="K566" s="21">
        <v>0</v>
      </c>
      <c r="L566" s="21">
        <v>0</v>
      </c>
      <c r="M566" s="21">
        <v>0</v>
      </c>
      <c r="N566" s="150">
        <f>SUM(B566:M566)</f>
        <v>0</v>
      </c>
      <c r="O566" s="22">
        <f>IF(N566=0,0,AVERAGE(B566:M566))</f>
        <v>0</v>
      </c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s="9" customFormat="1" ht="15.75">
      <c r="A567" s="62" t="s">
        <v>21</v>
      </c>
      <c r="B567" s="24">
        <f t="shared" ref="B567:C567" si="421">SUM(B563:B566)</f>
        <v>1654</v>
      </c>
      <c r="C567" s="24">
        <f t="shared" si="421"/>
        <v>1596</v>
      </c>
      <c r="D567" s="24">
        <f t="shared" ref="D567:E567" si="422">SUM(D563:D566)</f>
        <v>1791</v>
      </c>
      <c r="E567" s="24">
        <f t="shared" si="422"/>
        <v>805</v>
      </c>
      <c r="F567" s="24">
        <f t="shared" ref="F567:G567" si="423">SUM(F563:F566)</f>
        <v>669</v>
      </c>
      <c r="G567" s="24">
        <f t="shared" si="423"/>
        <v>1331</v>
      </c>
      <c r="H567" s="24">
        <f t="shared" ref="H567:I567" si="424">SUM(H563:H566)</f>
        <v>1860</v>
      </c>
      <c r="I567" s="24">
        <f t="shared" si="424"/>
        <v>1350</v>
      </c>
      <c r="J567" s="24">
        <f t="shared" ref="J567:K567" si="425">SUM(J563:J566)</f>
        <v>1560</v>
      </c>
      <c r="K567" s="24">
        <f t="shared" si="425"/>
        <v>1580</v>
      </c>
      <c r="L567" s="24">
        <f t="shared" ref="L567:M567" si="426">SUM(L563:L566)</f>
        <v>1603</v>
      </c>
      <c r="M567" s="24">
        <f t="shared" si="426"/>
        <v>1652</v>
      </c>
      <c r="N567" s="144">
        <f>SUM(N563:N566)</f>
        <v>17451</v>
      </c>
      <c r="O567" s="25">
        <f>SUM(O563:O566)</f>
        <v>1454.25</v>
      </c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s="9" customFormat="1" ht="15.75">
      <c r="A568" s="80" t="s">
        <v>112</v>
      </c>
      <c r="B568" s="25">
        <f t="shared" ref="B568:G568" si="427">IF(B567=0,"",B567/B$1870)</f>
        <v>53.354838709677416</v>
      </c>
      <c r="C568" s="25">
        <f t="shared" si="427"/>
        <v>57</v>
      </c>
      <c r="D568" s="25">
        <f t="shared" si="427"/>
        <v>57.774193548387096</v>
      </c>
      <c r="E568" s="25">
        <f t="shared" si="427"/>
        <v>26.833333333333332</v>
      </c>
      <c r="F568" s="25">
        <f t="shared" si="427"/>
        <v>21.580645161290324</v>
      </c>
      <c r="G568" s="25">
        <f t="shared" si="427"/>
        <v>44.366666666666667</v>
      </c>
      <c r="H568" s="25">
        <f t="shared" ref="H568:I568" si="428">IF(H567=0,"",H567/H$1870)</f>
        <v>60</v>
      </c>
      <c r="I568" s="25">
        <f t="shared" si="428"/>
        <v>43.548387096774192</v>
      </c>
      <c r="J568" s="25">
        <f t="shared" ref="J568:K568" si="429">IF(J567=0,"",J567/J$1870)</f>
        <v>52</v>
      </c>
      <c r="K568" s="25">
        <f t="shared" si="429"/>
        <v>50.967741935483872</v>
      </c>
      <c r="L568" s="25">
        <f t="shared" ref="L568:M568" si="430">IF(L567=0,"",L567/L$1870)</f>
        <v>53.43333333333333</v>
      </c>
      <c r="M568" s="25">
        <f t="shared" si="430"/>
        <v>53.29032258064516</v>
      </c>
      <c r="N568" s="144">
        <f>SUM(B568:M568)</f>
        <v>574.14946236559138</v>
      </c>
      <c r="O568" s="25">
        <f>IF(N568=0,0,AVERAGE(B568:M568))</f>
        <v>47.845788530465946</v>
      </c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customFormat="1" ht="14.25"/>
    <row r="570" spans="1:26" s="4" customFormat="1" ht="15.75">
      <c r="A570" s="66" t="s">
        <v>744</v>
      </c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49"/>
      <c r="O570" s="19"/>
    </row>
    <row r="571" spans="1:26" s="4" customFormat="1" ht="15.75">
      <c r="A571" s="40" t="s">
        <v>18</v>
      </c>
      <c r="B571" s="21">
        <v>93</v>
      </c>
      <c r="C571" s="21">
        <v>115</v>
      </c>
      <c r="D571" s="21">
        <v>133</v>
      </c>
      <c r="E571" s="21">
        <v>19</v>
      </c>
      <c r="F571" s="21">
        <v>14</v>
      </c>
      <c r="G571" s="21">
        <v>21</v>
      </c>
      <c r="H571" s="21">
        <v>43</v>
      </c>
      <c r="I571" s="21">
        <v>82</v>
      </c>
      <c r="J571" s="21">
        <v>68</v>
      </c>
      <c r="K571" s="21">
        <v>60</v>
      </c>
      <c r="L571" s="21">
        <v>125</v>
      </c>
      <c r="M571" s="21">
        <v>130</v>
      </c>
      <c r="N571" s="150">
        <f>SUM(B571:M571)</f>
        <v>903</v>
      </c>
      <c r="O571" s="22">
        <f>IF(N571=0,0,AVERAGE(B571:M571))</f>
        <v>75.25</v>
      </c>
    </row>
    <row r="572" spans="1:26" s="4" customFormat="1" ht="15.75">
      <c r="A572" s="40" t="s">
        <v>19</v>
      </c>
      <c r="B572" s="21">
        <v>49</v>
      </c>
      <c r="C572" s="21">
        <v>52</v>
      </c>
      <c r="D572" s="21">
        <v>40</v>
      </c>
      <c r="E572" s="21">
        <v>60</v>
      </c>
      <c r="F572" s="21">
        <v>39</v>
      </c>
      <c r="G572" s="21">
        <v>64</v>
      </c>
      <c r="H572" s="21">
        <v>82</v>
      </c>
      <c r="I572" s="21">
        <v>80</v>
      </c>
      <c r="J572" s="21">
        <v>42</v>
      </c>
      <c r="K572" s="21">
        <v>85</v>
      </c>
      <c r="L572" s="21">
        <v>16</v>
      </c>
      <c r="M572" s="21">
        <v>19</v>
      </c>
      <c r="N572" s="150">
        <f>SUM(B572:M572)</f>
        <v>628</v>
      </c>
      <c r="O572" s="22">
        <f>IF(N572=0,0,AVERAGE(B572:M572))</f>
        <v>52.333333333333336</v>
      </c>
    </row>
    <row r="573" spans="1:26" s="4" customFormat="1" ht="15.75">
      <c r="A573" s="40" t="s">
        <v>20</v>
      </c>
      <c r="B573" s="21">
        <v>0</v>
      </c>
      <c r="C573" s="21">
        <v>0</v>
      </c>
      <c r="D573" s="21">
        <v>0</v>
      </c>
      <c r="E573" s="21">
        <v>0</v>
      </c>
      <c r="F573" s="21">
        <v>0</v>
      </c>
      <c r="G573" s="21">
        <v>0</v>
      </c>
      <c r="H573" s="21">
        <v>0</v>
      </c>
      <c r="I573" s="21">
        <v>0</v>
      </c>
      <c r="J573" s="21">
        <v>0</v>
      </c>
      <c r="K573" s="21">
        <v>0</v>
      </c>
      <c r="L573" s="21">
        <v>0</v>
      </c>
      <c r="M573" s="21">
        <v>0</v>
      </c>
      <c r="N573" s="150">
        <f>SUM(B573:M573)</f>
        <v>0</v>
      </c>
      <c r="O573" s="22">
        <f>IF(N573=0,0,AVERAGE(B573:M573))</f>
        <v>0</v>
      </c>
    </row>
    <row r="574" spans="1:26" s="4" customFormat="1" ht="15.75">
      <c r="A574" s="40" t="s">
        <v>727</v>
      </c>
      <c r="B574" s="21">
        <v>367</v>
      </c>
      <c r="C574" s="21">
        <v>406</v>
      </c>
      <c r="D574" s="21">
        <v>450</v>
      </c>
      <c r="E574" s="21">
        <v>271</v>
      </c>
      <c r="F574" s="21">
        <v>280</v>
      </c>
      <c r="G574" s="21">
        <v>512</v>
      </c>
      <c r="H574" s="21">
        <v>567</v>
      </c>
      <c r="I574" s="21">
        <v>345</v>
      </c>
      <c r="J574" s="21">
        <v>424</v>
      </c>
      <c r="K574" s="21">
        <v>297</v>
      </c>
      <c r="L574" s="21">
        <v>407</v>
      </c>
      <c r="M574" s="21">
        <v>453</v>
      </c>
      <c r="N574" s="150">
        <f>SUM(B574:M574)</f>
        <v>4779</v>
      </c>
      <c r="O574" s="22">
        <f>IF(N574=0,0,AVERAGE(B574:M574))</f>
        <v>398.25</v>
      </c>
    </row>
    <row r="575" spans="1:26" s="4" customFormat="1" ht="15.75">
      <c r="A575" s="62" t="s">
        <v>21</v>
      </c>
      <c r="B575" s="24">
        <f t="shared" ref="B575:C575" si="431">SUM(B571:B574)</f>
        <v>509</v>
      </c>
      <c r="C575" s="24">
        <f t="shared" si="431"/>
        <v>573</v>
      </c>
      <c r="D575" s="24">
        <f t="shared" ref="D575:E575" si="432">SUM(D571:D574)</f>
        <v>623</v>
      </c>
      <c r="E575" s="24">
        <f t="shared" si="432"/>
        <v>350</v>
      </c>
      <c r="F575" s="24">
        <f t="shared" ref="F575:G575" si="433">SUM(F571:F574)</f>
        <v>333</v>
      </c>
      <c r="G575" s="24">
        <f t="shared" si="433"/>
        <v>597</v>
      </c>
      <c r="H575" s="24">
        <f t="shared" ref="H575:I575" si="434">SUM(H571:H574)</f>
        <v>692</v>
      </c>
      <c r="I575" s="24">
        <f t="shared" si="434"/>
        <v>507</v>
      </c>
      <c r="J575" s="24">
        <f t="shared" ref="J575:K575" si="435">SUM(J571:J574)</f>
        <v>534</v>
      </c>
      <c r="K575" s="24">
        <f t="shared" si="435"/>
        <v>442</v>
      </c>
      <c r="L575" s="24">
        <f t="shared" ref="L575:M575" si="436">SUM(L571:L574)</f>
        <v>548</v>
      </c>
      <c r="M575" s="24">
        <f t="shared" si="436"/>
        <v>602</v>
      </c>
      <c r="N575" s="144">
        <f>SUM(N571:N573)</f>
        <v>1531</v>
      </c>
      <c r="O575" s="25">
        <f>SUM(O571:O573)</f>
        <v>127.58333333333334</v>
      </c>
    </row>
    <row r="576" spans="1:26" s="4" customFormat="1" ht="15.75">
      <c r="A576" s="62" t="s">
        <v>112</v>
      </c>
      <c r="B576" s="25">
        <f t="shared" ref="B576:G576" si="437">IF(B575=0,"",B575/B$1870)</f>
        <v>16.419354838709676</v>
      </c>
      <c r="C576" s="25">
        <f t="shared" si="437"/>
        <v>20.464285714285715</v>
      </c>
      <c r="D576" s="25">
        <f t="shared" si="437"/>
        <v>20.096774193548388</v>
      </c>
      <c r="E576" s="25">
        <f t="shared" si="437"/>
        <v>11.666666666666666</v>
      </c>
      <c r="F576" s="25">
        <f t="shared" si="437"/>
        <v>10.741935483870968</v>
      </c>
      <c r="G576" s="25">
        <f t="shared" si="437"/>
        <v>19.899999999999999</v>
      </c>
      <c r="H576" s="25">
        <f t="shared" ref="H576:I576" si="438">IF(H575=0,"",H575/H$1870)</f>
        <v>22.322580645161292</v>
      </c>
      <c r="I576" s="25">
        <f t="shared" si="438"/>
        <v>16.35483870967742</v>
      </c>
      <c r="J576" s="25">
        <f t="shared" ref="J576:K576" si="439">IF(J575=0,"",J575/J$1870)</f>
        <v>17.8</v>
      </c>
      <c r="K576" s="25">
        <f t="shared" si="439"/>
        <v>14.258064516129032</v>
      </c>
      <c r="L576" s="25">
        <f t="shared" ref="L576:M576" si="440">IF(L575=0,"",L575/L$1870)</f>
        <v>18.266666666666666</v>
      </c>
      <c r="M576" s="25">
        <f t="shared" si="440"/>
        <v>19.419354838709676</v>
      </c>
      <c r="N576" s="144">
        <f>SUM(B576:M576)</f>
        <v>207.71052227342548</v>
      </c>
      <c r="O576" s="25">
        <f>IF(N576=0,0,AVERAGE(B576:M576))</f>
        <v>17.309210189452124</v>
      </c>
    </row>
    <row r="577" spans="1:15" customFormat="1" ht="15.75">
      <c r="A577" s="94"/>
      <c r="B577" s="95"/>
      <c r="C577" s="95"/>
      <c r="D577" s="95"/>
      <c r="E577" s="96"/>
      <c r="F577" s="96"/>
      <c r="G577" s="96"/>
      <c r="H577" s="96"/>
      <c r="I577" s="96"/>
      <c r="J577" s="96"/>
      <c r="K577" s="96"/>
      <c r="L577" s="96"/>
      <c r="M577" s="96"/>
      <c r="N577" s="168"/>
      <c r="O577" s="16"/>
    </row>
    <row r="578" spans="1:15" customFormat="1" ht="15.75">
      <c r="A578" s="66" t="s">
        <v>745</v>
      </c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49"/>
      <c r="O578" s="19"/>
    </row>
    <row r="579" spans="1:15" customFormat="1" ht="15.75">
      <c r="A579" s="37" t="s">
        <v>114</v>
      </c>
      <c r="B579" s="21">
        <v>449</v>
      </c>
      <c r="C579" s="21">
        <v>479</v>
      </c>
      <c r="D579" s="21">
        <v>511</v>
      </c>
      <c r="E579" s="21">
        <v>261</v>
      </c>
      <c r="F579" s="21">
        <v>281</v>
      </c>
      <c r="G579" s="21">
        <v>532</v>
      </c>
      <c r="H579" s="21">
        <v>532</v>
      </c>
      <c r="I579" s="21">
        <v>332</v>
      </c>
      <c r="J579" s="21">
        <v>509</v>
      </c>
      <c r="K579" s="21">
        <v>384</v>
      </c>
      <c r="L579" s="21">
        <v>463</v>
      </c>
      <c r="M579" s="21">
        <v>445</v>
      </c>
      <c r="N579" s="150">
        <f>SUM(B579:M579)</f>
        <v>5178</v>
      </c>
      <c r="O579" s="22">
        <f>IF(N579=0,0,AVERAGE(B579:M579))</f>
        <v>431.5</v>
      </c>
    </row>
    <row r="580" spans="1:15" s="4" customFormat="1" ht="15.75">
      <c r="A580" s="62" t="s">
        <v>21</v>
      </c>
      <c r="B580" s="24">
        <f t="shared" ref="B580:C580" si="441">SUM(B579)</f>
        <v>449</v>
      </c>
      <c r="C580" s="24">
        <f t="shared" si="441"/>
        <v>479</v>
      </c>
      <c r="D580" s="24">
        <f t="shared" ref="D580:E580" si="442">SUM(D579)</f>
        <v>511</v>
      </c>
      <c r="E580" s="24">
        <f t="shared" si="442"/>
        <v>261</v>
      </c>
      <c r="F580" s="24">
        <f t="shared" ref="F580:G580" si="443">SUM(F579)</f>
        <v>281</v>
      </c>
      <c r="G580" s="24">
        <f t="shared" si="443"/>
        <v>532</v>
      </c>
      <c r="H580" s="24">
        <f t="shared" ref="H580:I580" si="444">SUM(H579)</f>
        <v>532</v>
      </c>
      <c r="I580" s="24">
        <f t="shared" si="444"/>
        <v>332</v>
      </c>
      <c r="J580" s="24">
        <f t="shared" ref="J580:K580" si="445">SUM(J579)</f>
        <v>509</v>
      </c>
      <c r="K580" s="24">
        <f t="shared" si="445"/>
        <v>384</v>
      </c>
      <c r="L580" s="24">
        <f t="shared" ref="L580:M580" si="446">SUM(L579)</f>
        <v>463</v>
      </c>
      <c r="M580" s="24">
        <f t="shared" si="446"/>
        <v>445</v>
      </c>
      <c r="N580" s="144">
        <f>SUM(N579)</f>
        <v>5178</v>
      </c>
      <c r="O580" s="25">
        <f>SUM(O579)</f>
        <v>431.5</v>
      </c>
    </row>
    <row r="581" spans="1:15" s="4" customFormat="1" ht="15.75">
      <c r="A581" s="62" t="s">
        <v>112</v>
      </c>
      <c r="B581" s="25">
        <f t="shared" ref="B581:G581" si="447">IF(B580=0,"",B580/B$1870)</f>
        <v>14.483870967741936</v>
      </c>
      <c r="C581" s="25">
        <f t="shared" si="447"/>
        <v>17.107142857142858</v>
      </c>
      <c r="D581" s="25">
        <f t="shared" si="447"/>
        <v>16.483870967741936</v>
      </c>
      <c r="E581" s="25">
        <f t="shared" si="447"/>
        <v>8.6999999999999993</v>
      </c>
      <c r="F581" s="25">
        <f t="shared" si="447"/>
        <v>9.064516129032258</v>
      </c>
      <c r="G581" s="25">
        <f t="shared" si="447"/>
        <v>17.733333333333334</v>
      </c>
      <c r="H581" s="25">
        <f t="shared" ref="H581:I581" si="448">IF(H580=0,"",H580/H$1870)</f>
        <v>17.161290322580644</v>
      </c>
      <c r="I581" s="25">
        <f t="shared" si="448"/>
        <v>10.709677419354838</v>
      </c>
      <c r="J581" s="25">
        <f t="shared" ref="J581:K581" si="449">IF(J580=0,"",J580/J$1870)</f>
        <v>16.966666666666665</v>
      </c>
      <c r="K581" s="25">
        <f t="shared" si="449"/>
        <v>12.387096774193548</v>
      </c>
      <c r="L581" s="25">
        <f t="shared" ref="L581:M581" si="450">IF(L580=0,"",L580/L$1870)</f>
        <v>15.433333333333334</v>
      </c>
      <c r="M581" s="25">
        <f t="shared" si="450"/>
        <v>14.35483870967742</v>
      </c>
      <c r="N581" s="144">
        <f>SUM(B581:M581)</f>
        <v>170.58563748079874</v>
      </c>
      <c r="O581" s="25">
        <f>IF(N581=0,0,AVERAGE(B581:M581))</f>
        <v>14.215469790066562</v>
      </c>
    </row>
    <row r="582" spans="1:15" customFormat="1" ht="14.25">
      <c r="C582" s="4"/>
      <c r="D582" s="4"/>
      <c r="E582" s="4"/>
      <c r="F582" s="4"/>
      <c r="H582" s="4"/>
      <c r="I582" s="4"/>
      <c r="L582" s="4"/>
    </row>
    <row r="583" spans="1:15" customFormat="1" ht="15.75">
      <c r="A583" s="97" t="s">
        <v>724</v>
      </c>
      <c r="B583" s="92">
        <f>B567</f>
        <v>1654</v>
      </c>
      <c r="C583" s="92">
        <f t="shared" ref="C583:H583" si="451">C567</f>
        <v>1596</v>
      </c>
      <c r="D583" s="92">
        <f t="shared" si="451"/>
        <v>1791</v>
      </c>
      <c r="E583" s="92">
        <f t="shared" si="451"/>
        <v>805</v>
      </c>
      <c r="F583" s="92">
        <f t="shared" si="451"/>
        <v>669</v>
      </c>
      <c r="G583" s="92">
        <f t="shared" si="451"/>
        <v>1331</v>
      </c>
      <c r="H583" s="92">
        <f t="shared" si="451"/>
        <v>1860</v>
      </c>
      <c r="I583" s="92">
        <f t="shared" ref="I583:J583" si="452">I567</f>
        <v>1350</v>
      </c>
      <c r="J583" s="92">
        <f t="shared" si="452"/>
        <v>1560</v>
      </c>
      <c r="K583" s="92">
        <f t="shared" ref="K583:L583" si="453">K567</f>
        <v>1580</v>
      </c>
      <c r="L583" s="92">
        <f t="shared" si="453"/>
        <v>1603</v>
      </c>
      <c r="M583" s="92">
        <f t="shared" ref="M583" si="454">M567</f>
        <v>1652</v>
      </c>
      <c r="N583" s="150">
        <f>SUM(B583:M583)</f>
        <v>17451</v>
      </c>
      <c r="O583" s="22">
        <f>IF(N583=0,0,AVERAGE(B583:M583))</f>
        <v>1454.25</v>
      </c>
    </row>
    <row r="584" spans="1:15" customFormat="1" ht="15.75">
      <c r="A584" s="97" t="s">
        <v>725</v>
      </c>
      <c r="B584" s="92">
        <f t="shared" ref="B584" si="455">B580</f>
        <v>449</v>
      </c>
      <c r="C584" s="92">
        <f t="shared" ref="C584:H584" si="456">C580</f>
        <v>479</v>
      </c>
      <c r="D584" s="92">
        <f t="shared" si="456"/>
        <v>511</v>
      </c>
      <c r="E584" s="92">
        <f t="shared" si="456"/>
        <v>261</v>
      </c>
      <c r="F584" s="92">
        <f t="shared" si="456"/>
        <v>281</v>
      </c>
      <c r="G584" s="92">
        <f t="shared" si="456"/>
        <v>532</v>
      </c>
      <c r="H584" s="92">
        <f t="shared" si="456"/>
        <v>532</v>
      </c>
      <c r="I584" s="92">
        <f t="shared" ref="I584:J584" si="457">I580</f>
        <v>332</v>
      </c>
      <c r="J584" s="92">
        <f t="shared" si="457"/>
        <v>509</v>
      </c>
      <c r="K584" s="92">
        <f t="shared" ref="K584:L584" si="458">K580</f>
        <v>384</v>
      </c>
      <c r="L584" s="92">
        <f t="shared" si="458"/>
        <v>463</v>
      </c>
      <c r="M584" s="92">
        <f t="shared" ref="M584" si="459">M580</f>
        <v>445</v>
      </c>
      <c r="N584" s="150">
        <f>SUM(B584:M584)</f>
        <v>5178</v>
      </c>
      <c r="O584" s="22">
        <f>IF(N584=0,0,AVERAGE(B584:M584))</f>
        <v>431.5</v>
      </c>
    </row>
    <row r="585" spans="1:15" customFormat="1" ht="15.75">
      <c r="A585" s="267" t="s">
        <v>726</v>
      </c>
      <c r="B585" s="372">
        <f t="shared" ref="B585:C585" si="460">SUM(B583:B584)</f>
        <v>2103</v>
      </c>
      <c r="C585" s="372">
        <f t="shared" si="460"/>
        <v>2075</v>
      </c>
      <c r="D585" s="372">
        <f t="shared" ref="D585:E585" si="461">SUM(D583:D584)</f>
        <v>2302</v>
      </c>
      <c r="E585" s="372">
        <f t="shared" si="461"/>
        <v>1066</v>
      </c>
      <c r="F585" s="372">
        <f t="shared" ref="F585:G585" si="462">SUM(F583:F584)</f>
        <v>950</v>
      </c>
      <c r="G585" s="372">
        <f t="shared" si="462"/>
        <v>1863</v>
      </c>
      <c r="H585" s="372">
        <f t="shared" ref="H585:I585" si="463">SUM(H583:H584)</f>
        <v>2392</v>
      </c>
      <c r="I585" s="372">
        <f t="shared" si="463"/>
        <v>1682</v>
      </c>
      <c r="J585" s="372">
        <f t="shared" ref="J585:K585" si="464">SUM(J583:J584)</f>
        <v>2069</v>
      </c>
      <c r="K585" s="372">
        <f t="shared" si="464"/>
        <v>1964</v>
      </c>
      <c r="L585" s="372">
        <f t="shared" ref="L585:M585" si="465">SUM(L583:L584)</f>
        <v>2066</v>
      </c>
      <c r="M585" s="372">
        <f t="shared" si="465"/>
        <v>2097</v>
      </c>
      <c r="N585" s="373">
        <f>SUM(N583:N584)</f>
        <v>22629</v>
      </c>
      <c r="O585" s="374">
        <f>SUM(O583:O584)</f>
        <v>1885.75</v>
      </c>
    </row>
    <row r="586" spans="1:15" customFormat="1" ht="14.25"/>
    <row r="587" spans="1:15" customFormat="1" ht="15.75">
      <c r="A587" s="66" t="s">
        <v>746</v>
      </c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49"/>
      <c r="O587" s="19"/>
    </row>
    <row r="588" spans="1:15" customFormat="1" ht="15.75">
      <c r="A588" s="86" t="s">
        <v>332</v>
      </c>
      <c r="B588" s="21">
        <f t="shared" ref="B588:I588" si="466">B550</f>
        <v>19</v>
      </c>
      <c r="C588" s="21">
        <f t="shared" si="466"/>
        <v>16</v>
      </c>
      <c r="D588" s="21">
        <f t="shared" si="466"/>
        <v>20</v>
      </c>
      <c r="E588" s="21">
        <f t="shared" si="466"/>
        <v>7</v>
      </c>
      <c r="F588" s="21">
        <f t="shared" si="466"/>
        <v>6</v>
      </c>
      <c r="G588" s="21">
        <f t="shared" si="466"/>
        <v>9</v>
      </c>
      <c r="H588" s="21">
        <f t="shared" si="466"/>
        <v>8</v>
      </c>
      <c r="I588" s="21">
        <f t="shared" si="466"/>
        <v>12</v>
      </c>
      <c r="J588" s="87">
        <f>42</f>
        <v>42</v>
      </c>
      <c r="K588" s="87">
        <f>66+4</f>
        <v>70</v>
      </c>
      <c r="L588" s="87">
        <f>66+4</f>
        <v>70</v>
      </c>
      <c r="M588" s="21">
        <f t="shared" ref="M588" si="467">M550</f>
        <v>74</v>
      </c>
      <c r="N588" s="150">
        <f>SUM(B588:M588)</f>
        <v>353</v>
      </c>
      <c r="O588" s="22">
        <f>IF(N588=0,0,AVERAGE(B588:M588))</f>
        <v>29.416666666666668</v>
      </c>
    </row>
    <row r="589" spans="1:15" s="4" customFormat="1" ht="15.75">
      <c r="A589" s="37" t="s">
        <v>133</v>
      </c>
      <c r="B589" s="21">
        <v>2514</v>
      </c>
      <c r="C589" s="21">
        <v>2343</v>
      </c>
      <c r="D589" s="21">
        <v>1956</v>
      </c>
      <c r="E589" s="21">
        <v>1594</v>
      </c>
      <c r="F589" s="21">
        <v>1674</v>
      </c>
      <c r="G589" s="21">
        <v>1617</v>
      </c>
      <c r="H589" s="21">
        <v>2523</v>
      </c>
      <c r="I589" s="87">
        <v>1324</v>
      </c>
      <c r="J589" s="87">
        <f>1197+813+357</f>
        <v>2367</v>
      </c>
      <c r="K589" s="87">
        <f>1030+459</f>
        <v>1489</v>
      </c>
      <c r="L589" s="87">
        <f>2029+41</f>
        <v>2070</v>
      </c>
      <c r="M589" s="21">
        <f>1091+948</f>
        <v>2039</v>
      </c>
      <c r="N589" s="150">
        <f>SUM(B589:M589)</f>
        <v>23510</v>
      </c>
      <c r="O589" s="22">
        <f>IF(N589=0,0,AVERAGE(B589:M589))</f>
        <v>1959.1666666666667</v>
      </c>
    </row>
    <row r="590" spans="1:15" s="4" customFormat="1" ht="15.75">
      <c r="A590" s="37" t="s">
        <v>134</v>
      </c>
      <c r="B590" s="21">
        <v>5</v>
      </c>
      <c r="C590" s="21">
        <v>5</v>
      </c>
      <c r="D590" s="21">
        <v>3</v>
      </c>
      <c r="E590" s="21">
        <v>3</v>
      </c>
      <c r="F590" s="21">
        <v>5</v>
      </c>
      <c r="G590" s="21">
        <v>6</v>
      </c>
      <c r="H590" s="21">
        <v>2</v>
      </c>
      <c r="I590" s="87">
        <v>7</v>
      </c>
      <c r="J590" s="87">
        <f>1+3+1</f>
        <v>5</v>
      </c>
      <c r="K590" s="21">
        <f>2+2</f>
        <v>4</v>
      </c>
      <c r="L590" s="21">
        <v>8</v>
      </c>
      <c r="M590" s="21">
        <f>3+2</f>
        <v>5</v>
      </c>
      <c r="N590" s="150">
        <f>SUM(B590:M590)</f>
        <v>58</v>
      </c>
      <c r="O590" s="22">
        <f>IF(N590=0,0,AVERAGE(B590:M590))</f>
        <v>4.833333333333333</v>
      </c>
    </row>
    <row r="591" spans="1:15" s="4" customFormat="1" ht="15.75">
      <c r="A591" s="37" t="s">
        <v>644</v>
      </c>
      <c r="B591" s="21">
        <v>70</v>
      </c>
      <c r="C591" s="21">
        <v>42</v>
      </c>
      <c r="D591" s="21">
        <v>44</v>
      </c>
      <c r="E591" s="21">
        <v>35</v>
      </c>
      <c r="F591" s="21">
        <v>38</v>
      </c>
      <c r="G591" s="21">
        <v>45</v>
      </c>
      <c r="H591" s="21">
        <v>8</v>
      </c>
      <c r="I591" s="87">
        <f>32+44</f>
        <v>76</v>
      </c>
      <c r="J591" s="87">
        <f>20+35+24</f>
        <v>79</v>
      </c>
      <c r="K591" s="21">
        <f>16+24</f>
        <v>40</v>
      </c>
      <c r="L591" s="21">
        <v>41</v>
      </c>
      <c r="M591" s="21">
        <f>14+34</f>
        <v>48</v>
      </c>
      <c r="N591" s="150">
        <f>SUM(B591:M591)</f>
        <v>566</v>
      </c>
      <c r="O591" s="22">
        <f>IF(N591=0,0,AVERAGE(B591:M591))</f>
        <v>47.166666666666664</v>
      </c>
    </row>
    <row r="592" spans="1:15" s="4" customFormat="1" ht="30">
      <c r="A592" s="37" t="s">
        <v>135</v>
      </c>
      <c r="B592" s="21">
        <v>6</v>
      </c>
      <c r="C592" s="21">
        <v>2</v>
      </c>
      <c r="D592" s="21">
        <v>4</v>
      </c>
      <c r="E592" s="21">
        <v>3</v>
      </c>
      <c r="F592" s="21">
        <v>4</v>
      </c>
      <c r="G592" s="21">
        <v>5</v>
      </c>
      <c r="H592" s="21">
        <v>11</v>
      </c>
      <c r="I592" s="87">
        <v>0</v>
      </c>
      <c r="J592" s="87">
        <f>2+2</f>
        <v>4</v>
      </c>
      <c r="K592" s="21">
        <f>3</f>
        <v>3</v>
      </c>
      <c r="L592" s="21">
        <v>5</v>
      </c>
      <c r="M592" s="21">
        <f>1</f>
        <v>1</v>
      </c>
      <c r="N592" s="150">
        <f>SUM(B592:M592)</f>
        <v>48</v>
      </c>
      <c r="O592" s="22">
        <f>IF(N592=0,0,AVERAGE(B592:M592))</f>
        <v>4</v>
      </c>
    </row>
    <row r="593" spans="1:15" s="4" customFormat="1" ht="15.75">
      <c r="A593" s="62" t="s">
        <v>21</v>
      </c>
      <c r="B593" s="24">
        <f t="shared" ref="B593:C593" si="468">SUM(B588:B592)</f>
        <v>2614</v>
      </c>
      <c r="C593" s="24">
        <f t="shared" si="468"/>
        <v>2408</v>
      </c>
      <c r="D593" s="24">
        <f t="shared" ref="D593:E593" si="469">SUM(D588:D592)</f>
        <v>2027</v>
      </c>
      <c r="E593" s="24">
        <f t="shared" si="469"/>
        <v>1642</v>
      </c>
      <c r="F593" s="24">
        <f t="shared" ref="F593:G593" si="470">SUM(F588:F592)</f>
        <v>1727</v>
      </c>
      <c r="G593" s="24">
        <f t="shared" si="470"/>
        <v>1682</v>
      </c>
      <c r="H593" s="24">
        <f t="shared" ref="H593:I593" si="471">SUM(H588:H592)</f>
        <v>2552</v>
      </c>
      <c r="I593" s="24">
        <f t="shared" si="471"/>
        <v>1419</v>
      </c>
      <c r="J593" s="24">
        <f t="shared" ref="J593:K593" si="472">SUM(J588:J592)</f>
        <v>2497</v>
      </c>
      <c r="K593" s="24">
        <f t="shared" si="472"/>
        <v>1606</v>
      </c>
      <c r="L593" s="24">
        <f t="shared" ref="L593:M593" si="473">SUM(L588:L592)</f>
        <v>2194</v>
      </c>
      <c r="M593" s="24">
        <f t="shared" si="473"/>
        <v>2167</v>
      </c>
      <c r="N593" s="144">
        <f>SUM(N588:N592)</f>
        <v>24535</v>
      </c>
      <c r="O593" s="25">
        <f>SUM(O588:O592)</f>
        <v>2044.5833333333335</v>
      </c>
    </row>
    <row r="594" spans="1:15" s="4" customFormat="1" ht="15.75">
      <c r="A594" s="80" t="s">
        <v>112</v>
      </c>
      <c r="B594" s="25">
        <f t="shared" ref="B594:F594" si="474">IF(B593=0,"",B593/B$1870)</f>
        <v>84.322580645161295</v>
      </c>
      <c r="C594" s="25">
        <f t="shared" si="474"/>
        <v>86</v>
      </c>
      <c r="D594" s="25">
        <f t="shared" si="474"/>
        <v>65.387096774193552</v>
      </c>
      <c r="E594" s="25">
        <f t="shared" si="474"/>
        <v>54.733333333333334</v>
      </c>
      <c r="F594" s="25">
        <f t="shared" si="474"/>
        <v>55.70967741935484</v>
      </c>
      <c r="G594" s="25">
        <f t="shared" ref="G594:H594" si="475">IF(G593=0,"",G593/G$1870)</f>
        <v>56.06666666666667</v>
      </c>
      <c r="H594" s="25">
        <f t="shared" si="475"/>
        <v>82.322580645161295</v>
      </c>
      <c r="I594" s="25">
        <f t="shared" ref="I594:J594" si="476">IF(I593=0,"",I593/I$1870)</f>
        <v>45.774193548387096</v>
      </c>
      <c r="J594" s="25">
        <f t="shared" si="476"/>
        <v>83.233333333333334</v>
      </c>
      <c r="K594" s="25">
        <f t="shared" ref="K594:L594" si="477">IF(K593=0,"",K593/K$1870)</f>
        <v>51.806451612903224</v>
      </c>
      <c r="L594" s="25">
        <f t="shared" si="477"/>
        <v>73.13333333333334</v>
      </c>
      <c r="M594" s="25">
        <f t="shared" ref="M594" si="478">IF(M593=0,"",M593/M$1870)</f>
        <v>69.903225806451616</v>
      </c>
      <c r="N594" s="144">
        <f>SUM(B594:M594)</f>
        <v>808.39247311827944</v>
      </c>
      <c r="O594" s="25">
        <f>IF(N594=0,0,AVERAGE(B594:M594))</f>
        <v>67.366039426523287</v>
      </c>
    </row>
    <row r="595" spans="1:15" s="4" customFormat="1" ht="15.75">
      <c r="A595" s="379"/>
      <c r="B595" s="355"/>
      <c r="C595" s="355"/>
      <c r="D595" s="355"/>
      <c r="E595" s="355"/>
      <c r="F595" s="355"/>
      <c r="G595" s="355"/>
      <c r="H595" s="355"/>
      <c r="I595" s="355"/>
      <c r="J595" s="355"/>
      <c r="K595" s="355"/>
      <c r="L595" s="355"/>
      <c r="M595" s="355"/>
      <c r="N595" s="166"/>
      <c r="O595" s="355"/>
    </row>
    <row r="596" spans="1:15" s="4" customFormat="1" ht="15.75">
      <c r="A596" s="66" t="s">
        <v>747</v>
      </c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49"/>
      <c r="O596" s="19"/>
    </row>
    <row r="597" spans="1:15" s="4" customFormat="1" ht="15.75">
      <c r="A597" s="40" t="s">
        <v>119</v>
      </c>
      <c r="B597" s="21">
        <v>0</v>
      </c>
      <c r="C597" s="21">
        <v>0</v>
      </c>
      <c r="D597" s="21">
        <v>0</v>
      </c>
      <c r="E597" s="21">
        <v>0</v>
      </c>
      <c r="F597" s="21">
        <v>0</v>
      </c>
      <c r="G597" s="21">
        <v>0</v>
      </c>
      <c r="H597" s="21">
        <v>0</v>
      </c>
      <c r="I597" s="21">
        <v>0</v>
      </c>
      <c r="J597" s="21">
        <v>0</v>
      </c>
      <c r="K597" s="21">
        <v>0</v>
      </c>
      <c r="L597" s="21">
        <v>0</v>
      </c>
      <c r="M597" s="21">
        <v>0</v>
      </c>
      <c r="N597" s="150">
        <f>SUM(B597:M597)</f>
        <v>0</v>
      </c>
      <c r="O597" s="22">
        <f>IF(N597=0,0,AVERAGE(B597:M597))</f>
        <v>0</v>
      </c>
    </row>
    <row r="598" spans="1:15" s="4" customFormat="1" ht="15.75">
      <c r="A598" s="40" t="s">
        <v>18</v>
      </c>
      <c r="B598" s="21">
        <v>531</v>
      </c>
      <c r="C598" s="21">
        <v>506</v>
      </c>
      <c r="D598" s="21">
        <v>447</v>
      </c>
      <c r="E598" s="21">
        <v>154</v>
      </c>
      <c r="F598" s="21">
        <v>301</v>
      </c>
      <c r="G598" s="21">
        <f>20+452+45</f>
        <v>517</v>
      </c>
      <c r="H598" s="21">
        <f>10+52+552</f>
        <v>614</v>
      </c>
      <c r="I598" s="21">
        <f>676+15</f>
        <v>691</v>
      </c>
      <c r="J598" s="21">
        <f>49+554+2</f>
        <v>605</v>
      </c>
      <c r="K598" s="21">
        <f>62+151</f>
        <v>213</v>
      </c>
      <c r="L598" s="21">
        <f>58+558+13</f>
        <v>629</v>
      </c>
      <c r="M598" s="21">
        <f>75+182+504+188</f>
        <v>949</v>
      </c>
      <c r="N598" s="150">
        <f>SUM(B598:M598)</f>
        <v>6157</v>
      </c>
      <c r="O598" s="22">
        <f>IF(N598=0,0,AVERAGE(B598:M598))</f>
        <v>513.08333333333337</v>
      </c>
    </row>
    <row r="599" spans="1:15" s="4" customFormat="1" ht="15.75">
      <c r="A599" s="40" t="s">
        <v>19</v>
      </c>
      <c r="B599" s="21">
        <v>1543</v>
      </c>
      <c r="C599" s="21">
        <v>1445</v>
      </c>
      <c r="D599" s="21">
        <v>1131</v>
      </c>
      <c r="E599" s="21">
        <v>1225</v>
      </c>
      <c r="F599" s="21">
        <v>906</v>
      </c>
      <c r="G599" s="21">
        <f>28+77+76+96+372+193</f>
        <v>842</v>
      </c>
      <c r="H599" s="21">
        <f>18+640+614+157+62+60</f>
        <v>1551</v>
      </c>
      <c r="I599" s="21">
        <f>90+104+26+269</f>
        <v>489</v>
      </c>
      <c r="J599" s="21">
        <f>635+149+134+337</f>
        <v>1255</v>
      </c>
      <c r="K599" s="21">
        <f>620+173+40+256</f>
        <v>1089</v>
      </c>
      <c r="L599" s="21">
        <f>528+167+160+30+17+239</f>
        <v>1141</v>
      </c>
      <c r="M599" s="21">
        <f>160+608</f>
        <v>768</v>
      </c>
      <c r="N599" s="150">
        <f>SUM(B599:M599)</f>
        <v>13385</v>
      </c>
      <c r="O599" s="22">
        <f>IF(N599=0,0,AVERAGE(B599:M599))</f>
        <v>1115.4166666666667</v>
      </c>
    </row>
    <row r="600" spans="1:15" s="4" customFormat="1" ht="15.75">
      <c r="A600" s="40" t="s">
        <v>20</v>
      </c>
      <c r="B600" s="21">
        <v>446</v>
      </c>
      <c r="C600" s="21">
        <v>380</v>
      </c>
      <c r="D600" s="21">
        <v>375</v>
      </c>
      <c r="E600" s="21">
        <v>203</v>
      </c>
      <c r="F600" s="21">
        <v>228</v>
      </c>
      <c r="G600" s="21">
        <f>217+48</f>
        <v>265</v>
      </c>
      <c r="H600" s="21">
        <f>32+325+7</f>
        <v>364</v>
      </c>
      <c r="I600" s="21">
        <f>120+30</f>
        <v>150</v>
      </c>
      <c r="J600" s="21">
        <f>367+128+21</f>
        <v>516</v>
      </c>
      <c r="K600" s="21">
        <f>175+17</f>
        <v>192</v>
      </c>
      <c r="L600" s="21">
        <f>9+94+160</f>
        <v>263</v>
      </c>
      <c r="M600" s="21">
        <f>226+98</f>
        <v>324</v>
      </c>
      <c r="N600" s="150">
        <f>SUM(B600:M600)</f>
        <v>3706</v>
      </c>
      <c r="O600" s="22">
        <f>IF(N600=0,0,AVERAGE(B600:M600))</f>
        <v>308.83333333333331</v>
      </c>
    </row>
    <row r="601" spans="1:15" s="4" customFormat="1" ht="15.75">
      <c r="A601" s="40" t="s">
        <v>727</v>
      </c>
      <c r="B601" s="21">
        <v>71</v>
      </c>
      <c r="C601" s="21">
        <v>43</v>
      </c>
      <c r="D601" s="21">
        <v>52</v>
      </c>
      <c r="E601" s="21">
        <v>40</v>
      </c>
      <c r="F601" s="21">
        <v>38</v>
      </c>
      <c r="G601" s="21">
        <f>10+11+24</f>
        <v>45</v>
      </c>
      <c r="H601" s="21">
        <f>15+8</f>
        <v>23</v>
      </c>
      <c r="I601" s="21">
        <f>44+32</f>
        <v>76</v>
      </c>
      <c r="J601" s="21">
        <f>20+35+24</f>
        <v>79</v>
      </c>
      <c r="K601" s="21">
        <f>18+24</f>
        <v>42</v>
      </c>
      <c r="L601" s="21">
        <f>23+14+4</f>
        <v>41</v>
      </c>
      <c r="M601" s="21">
        <f>34+14</f>
        <v>48</v>
      </c>
      <c r="N601" s="150">
        <f>SUM(B601:M601)</f>
        <v>598</v>
      </c>
      <c r="O601" s="22">
        <f>IF(N601=0,0,AVERAGE(B601:M601))</f>
        <v>49.833333333333336</v>
      </c>
    </row>
    <row r="602" spans="1:15" s="4" customFormat="1" ht="15.75">
      <c r="A602" s="62" t="s">
        <v>21</v>
      </c>
      <c r="B602" s="24">
        <f t="shared" ref="B602:C602" si="479">SUM(B598:B601)</f>
        <v>2591</v>
      </c>
      <c r="C602" s="24">
        <f t="shared" si="479"/>
        <v>2374</v>
      </c>
      <c r="D602" s="24">
        <f t="shared" ref="D602:E602" si="480">SUM(D598:D601)</f>
        <v>2005</v>
      </c>
      <c r="E602" s="24">
        <f t="shared" si="480"/>
        <v>1622</v>
      </c>
      <c r="F602" s="24">
        <f t="shared" ref="F602:G602" si="481">SUM(F598:F601)</f>
        <v>1473</v>
      </c>
      <c r="G602" s="24">
        <f t="shared" si="481"/>
        <v>1669</v>
      </c>
      <c r="H602" s="24">
        <f t="shared" ref="H602:I602" si="482">SUM(H598:H601)</f>
        <v>2552</v>
      </c>
      <c r="I602" s="24">
        <f t="shared" si="482"/>
        <v>1406</v>
      </c>
      <c r="J602" s="24">
        <f t="shared" ref="J602:K602" si="483">SUM(J598:J601)</f>
        <v>2455</v>
      </c>
      <c r="K602" s="24">
        <f t="shared" si="483"/>
        <v>1536</v>
      </c>
      <c r="L602" s="24">
        <f t="shared" ref="L602:M602" si="484">SUM(L598:L601)</f>
        <v>2074</v>
      </c>
      <c r="M602" s="24">
        <f t="shared" si="484"/>
        <v>2089</v>
      </c>
      <c r="N602" s="144">
        <f>SUM(N598:N600)</f>
        <v>23248</v>
      </c>
      <c r="O602" s="25">
        <f>SUM(O598:O600)</f>
        <v>1937.3333333333333</v>
      </c>
    </row>
    <row r="603" spans="1:15" s="4" customFormat="1" ht="15.75">
      <c r="A603" s="62" t="s">
        <v>112</v>
      </c>
      <c r="B603" s="25">
        <f t="shared" ref="B603:G603" si="485">IF(B602=0,"",B602/B$1870)</f>
        <v>83.58064516129032</v>
      </c>
      <c r="C603" s="25">
        <f t="shared" si="485"/>
        <v>84.785714285714292</v>
      </c>
      <c r="D603" s="25">
        <f t="shared" si="485"/>
        <v>64.677419354838705</v>
      </c>
      <c r="E603" s="25">
        <f t="shared" si="485"/>
        <v>54.06666666666667</v>
      </c>
      <c r="F603" s="25">
        <f t="shared" si="485"/>
        <v>47.516129032258064</v>
      </c>
      <c r="G603" s="25">
        <f t="shared" si="485"/>
        <v>55.633333333333333</v>
      </c>
      <c r="H603" s="25">
        <f t="shared" ref="H603:I603" si="486">IF(H602=0,"",H602/H$1870)</f>
        <v>82.322580645161295</v>
      </c>
      <c r="I603" s="25">
        <f t="shared" si="486"/>
        <v>45.354838709677416</v>
      </c>
      <c r="J603" s="25">
        <f t="shared" ref="J603" si="487">IF(J602=0,"",J602/J$1870)</f>
        <v>81.833333333333329</v>
      </c>
      <c r="K603" s="25">
        <f t="shared" ref="K603:L603" si="488">IF(K602=0,"",K602/K$1870)</f>
        <v>49.548387096774192</v>
      </c>
      <c r="L603" s="25">
        <f t="shared" si="488"/>
        <v>69.13333333333334</v>
      </c>
      <c r="M603" s="25">
        <f t="shared" ref="M603" si="489">IF(M602=0,"",M602/M$1870)</f>
        <v>67.387096774193552</v>
      </c>
      <c r="N603" s="144">
        <f>SUM(B603:M603)</f>
        <v>785.83947772657439</v>
      </c>
      <c r="O603" s="25">
        <f>IF(N603=0,0,AVERAGE(B603:M603))</f>
        <v>65.486623143881204</v>
      </c>
    </row>
    <row r="604" spans="1:15" s="4" customFormat="1" ht="15.75">
      <c r="A604" s="94"/>
      <c r="B604" s="95"/>
      <c r="C604" s="95"/>
      <c r="D604" s="95"/>
      <c r="E604" s="96"/>
      <c r="F604" s="96"/>
      <c r="G604" s="96"/>
      <c r="H604" s="96"/>
      <c r="I604" s="96"/>
      <c r="J604" s="96"/>
      <c r="K604" s="96"/>
      <c r="L604" s="96"/>
      <c r="M604" s="96"/>
      <c r="N604" s="168"/>
      <c r="O604" s="16"/>
    </row>
    <row r="605" spans="1:15" s="4" customFormat="1" ht="15.75">
      <c r="A605" s="66" t="s">
        <v>748</v>
      </c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49"/>
      <c r="O605" s="19"/>
    </row>
    <row r="606" spans="1:15" s="4" customFormat="1" ht="15.75">
      <c r="A606" s="37" t="s">
        <v>114</v>
      </c>
      <c r="B606" s="21">
        <f t="shared" ref="B606:G606" si="490">B550</f>
        <v>19</v>
      </c>
      <c r="C606" s="21">
        <f t="shared" si="490"/>
        <v>16</v>
      </c>
      <c r="D606" s="21">
        <f t="shared" si="490"/>
        <v>20</v>
      </c>
      <c r="E606" s="21">
        <f t="shared" si="490"/>
        <v>7</v>
      </c>
      <c r="F606" s="21">
        <f t="shared" si="490"/>
        <v>6</v>
      </c>
      <c r="G606" s="21">
        <f t="shared" si="490"/>
        <v>9</v>
      </c>
      <c r="H606" s="21">
        <f t="shared" ref="H606:L606" si="491">H550</f>
        <v>8</v>
      </c>
      <c r="I606" s="21">
        <f t="shared" si="491"/>
        <v>12</v>
      </c>
      <c r="J606" s="21">
        <f t="shared" si="491"/>
        <v>42</v>
      </c>
      <c r="K606" s="21">
        <f t="shared" si="491"/>
        <v>66</v>
      </c>
      <c r="L606" s="21">
        <f t="shared" si="491"/>
        <v>78</v>
      </c>
      <c r="M606" s="21">
        <f t="shared" ref="M606" si="492">M550</f>
        <v>74</v>
      </c>
      <c r="N606" s="150">
        <f>SUM(B606:M606)</f>
        <v>357</v>
      </c>
      <c r="O606" s="22">
        <f>IF(N606=0,0,AVERAGE(B606:M606))</f>
        <v>29.75</v>
      </c>
    </row>
    <row r="607" spans="1:15" s="4" customFormat="1" ht="15.75">
      <c r="A607" s="62" t="s">
        <v>21</v>
      </c>
      <c r="B607" s="24">
        <f t="shared" ref="B607:C607" si="493">SUM(B606)</f>
        <v>19</v>
      </c>
      <c r="C607" s="24">
        <f t="shared" si="493"/>
        <v>16</v>
      </c>
      <c r="D607" s="24">
        <f t="shared" ref="D607:E607" si="494">SUM(D606)</f>
        <v>20</v>
      </c>
      <c r="E607" s="24">
        <f t="shared" si="494"/>
        <v>7</v>
      </c>
      <c r="F607" s="24">
        <f t="shared" ref="F607:G607" si="495">SUM(F606)</f>
        <v>6</v>
      </c>
      <c r="G607" s="24">
        <f t="shared" si="495"/>
        <v>9</v>
      </c>
      <c r="H607" s="24">
        <f t="shared" ref="H607:I607" si="496">SUM(H606)</f>
        <v>8</v>
      </c>
      <c r="I607" s="24">
        <f t="shared" si="496"/>
        <v>12</v>
      </c>
      <c r="J607" s="24">
        <f t="shared" ref="J607:K607" si="497">SUM(J606)</f>
        <v>42</v>
      </c>
      <c r="K607" s="24">
        <f t="shared" si="497"/>
        <v>66</v>
      </c>
      <c r="L607" s="24">
        <f t="shared" ref="L607:M607" si="498">SUM(L606)</f>
        <v>78</v>
      </c>
      <c r="M607" s="24">
        <f t="shared" si="498"/>
        <v>74</v>
      </c>
      <c r="N607" s="144">
        <f>SUM(N606)</f>
        <v>357</v>
      </c>
      <c r="O607" s="25">
        <f>SUM(O606)</f>
        <v>29.75</v>
      </c>
    </row>
    <row r="608" spans="1:15" s="4" customFormat="1" ht="15.75">
      <c r="A608" s="62" t="s">
        <v>112</v>
      </c>
      <c r="B608" s="25">
        <f t="shared" ref="B608:G608" si="499">IF(B607=0,"",B607/B$1870)</f>
        <v>0.61290322580645162</v>
      </c>
      <c r="C608" s="25">
        <f t="shared" si="499"/>
        <v>0.5714285714285714</v>
      </c>
      <c r="D608" s="25">
        <f t="shared" si="499"/>
        <v>0.64516129032258063</v>
      </c>
      <c r="E608" s="25">
        <f t="shared" si="499"/>
        <v>0.23333333333333334</v>
      </c>
      <c r="F608" s="25">
        <f t="shared" si="499"/>
        <v>0.19354838709677419</v>
      </c>
      <c r="G608" s="25">
        <f t="shared" si="499"/>
        <v>0.3</v>
      </c>
      <c r="H608" s="25">
        <f t="shared" ref="H608:I608" si="500">IF(H607=0,"",H607/H$1870)</f>
        <v>0.25806451612903225</v>
      </c>
      <c r="I608" s="25">
        <f t="shared" si="500"/>
        <v>0.38709677419354838</v>
      </c>
      <c r="J608" s="25">
        <f t="shared" ref="J608:K608" si="501">IF(J607=0,"",J607/J$1870)</f>
        <v>1.4</v>
      </c>
      <c r="K608" s="25">
        <f t="shared" si="501"/>
        <v>2.129032258064516</v>
      </c>
      <c r="L608" s="25">
        <f t="shared" ref="L608:M608" si="502">IF(L607=0,"",L607/L$1870)</f>
        <v>2.6</v>
      </c>
      <c r="M608" s="25">
        <f t="shared" si="502"/>
        <v>2.3870967741935485</v>
      </c>
      <c r="N608" s="144">
        <f>SUM(B608:M608)</f>
        <v>11.717665130568356</v>
      </c>
      <c r="O608" s="25">
        <f>IF(N608=0,0,AVERAGE(B608:M608))</f>
        <v>0.9764720942140297</v>
      </c>
    </row>
    <row r="609" spans="1:26" s="4" customFormat="1" ht="14.25"/>
    <row r="610" spans="1:26" s="4" customFormat="1" ht="15.75">
      <c r="A610" s="97" t="s">
        <v>728</v>
      </c>
      <c r="B610" s="92">
        <f t="shared" ref="B610:C610" si="503">B602</f>
        <v>2591</v>
      </c>
      <c r="C610" s="92">
        <f t="shared" si="503"/>
        <v>2374</v>
      </c>
      <c r="D610" s="92">
        <f t="shared" ref="D610:E610" si="504">D602</f>
        <v>2005</v>
      </c>
      <c r="E610" s="92">
        <f t="shared" si="504"/>
        <v>1622</v>
      </c>
      <c r="F610" s="92">
        <f t="shared" ref="F610:G610" si="505">F602</f>
        <v>1473</v>
      </c>
      <c r="G610" s="92">
        <f t="shared" si="505"/>
        <v>1669</v>
      </c>
      <c r="H610" s="92">
        <f t="shared" ref="H610:I610" si="506">H602</f>
        <v>2552</v>
      </c>
      <c r="I610" s="92">
        <f t="shared" si="506"/>
        <v>1406</v>
      </c>
      <c r="J610" s="92">
        <f t="shared" ref="J610:K610" si="507">J602</f>
        <v>2455</v>
      </c>
      <c r="K610" s="92">
        <f t="shared" si="507"/>
        <v>1536</v>
      </c>
      <c r="L610" s="92">
        <f t="shared" ref="L610:M610" si="508">L602</f>
        <v>2074</v>
      </c>
      <c r="M610" s="92">
        <f t="shared" si="508"/>
        <v>2089</v>
      </c>
      <c r="N610" s="150">
        <f>SUM(B610:M610)</f>
        <v>23846</v>
      </c>
      <c r="O610" s="22">
        <f>IF(N610=0,0,AVERAGE(B610:M610))</f>
        <v>1987.1666666666667</v>
      </c>
    </row>
    <row r="611" spans="1:26" s="4" customFormat="1" ht="15.75">
      <c r="A611" s="97" t="s">
        <v>729</v>
      </c>
      <c r="B611" s="92">
        <f t="shared" ref="B611:C611" si="509">B607</f>
        <v>19</v>
      </c>
      <c r="C611" s="92">
        <f t="shared" si="509"/>
        <v>16</v>
      </c>
      <c r="D611" s="92">
        <f t="shared" ref="D611:E611" si="510">D607</f>
        <v>20</v>
      </c>
      <c r="E611" s="92">
        <f t="shared" si="510"/>
        <v>7</v>
      </c>
      <c r="F611" s="92">
        <f t="shared" ref="F611:G611" si="511">F607</f>
        <v>6</v>
      </c>
      <c r="G611" s="92">
        <f t="shared" si="511"/>
        <v>9</v>
      </c>
      <c r="H611" s="92">
        <f t="shared" ref="H611:I611" si="512">H607</f>
        <v>8</v>
      </c>
      <c r="I611" s="92">
        <f t="shared" si="512"/>
        <v>12</v>
      </c>
      <c r="J611" s="92">
        <f t="shared" ref="J611:K611" si="513">J607</f>
        <v>42</v>
      </c>
      <c r="K611" s="92">
        <f t="shared" si="513"/>
        <v>66</v>
      </c>
      <c r="L611" s="92">
        <f t="shared" ref="L611:M611" si="514">L607</f>
        <v>78</v>
      </c>
      <c r="M611" s="92">
        <f t="shared" si="514"/>
        <v>74</v>
      </c>
      <c r="N611" s="150">
        <f>SUM(B611:M611)</f>
        <v>357</v>
      </c>
      <c r="O611" s="22">
        <f>IF(N611=0,0,AVERAGE(B611:M611))</f>
        <v>29.75</v>
      </c>
    </row>
    <row r="612" spans="1:26" s="4" customFormat="1" ht="15.75">
      <c r="A612" s="267" t="s">
        <v>730</v>
      </c>
      <c r="B612" s="372">
        <f t="shared" ref="B612:C612" si="515">SUM(B610:B611)</f>
        <v>2610</v>
      </c>
      <c r="C612" s="372">
        <f t="shared" si="515"/>
        <v>2390</v>
      </c>
      <c r="D612" s="372">
        <f t="shared" ref="D612:E612" si="516">SUM(D610:D611)</f>
        <v>2025</v>
      </c>
      <c r="E612" s="372">
        <f t="shared" si="516"/>
        <v>1629</v>
      </c>
      <c r="F612" s="372">
        <f t="shared" ref="F612:G612" si="517">SUM(F610:F611)</f>
        <v>1479</v>
      </c>
      <c r="G612" s="372">
        <f t="shared" si="517"/>
        <v>1678</v>
      </c>
      <c r="H612" s="372">
        <f t="shared" ref="H612:I612" si="518">SUM(H610:H611)</f>
        <v>2560</v>
      </c>
      <c r="I612" s="372">
        <f t="shared" si="518"/>
        <v>1418</v>
      </c>
      <c r="J612" s="372">
        <f t="shared" ref="J612:K612" si="519">SUM(J610:J611)</f>
        <v>2497</v>
      </c>
      <c r="K612" s="372">
        <f t="shared" si="519"/>
        <v>1602</v>
      </c>
      <c r="L612" s="372">
        <f t="shared" ref="L612:M612" si="520">SUM(L610:L611)</f>
        <v>2152</v>
      </c>
      <c r="M612" s="372">
        <f t="shared" si="520"/>
        <v>2163</v>
      </c>
      <c r="N612" s="373">
        <f>SUM(N610:N611)</f>
        <v>24203</v>
      </c>
      <c r="O612" s="374">
        <f>SUM(O610:O611)</f>
        <v>2016.9166666666667</v>
      </c>
    </row>
    <row r="613" spans="1:26" s="4" customFormat="1" ht="15.75">
      <c r="A613" s="379"/>
      <c r="B613" s="355"/>
      <c r="C613" s="355"/>
      <c r="D613" s="355"/>
      <c r="E613" s="355"/>
      <c r="F613" s="355"/>
      <c r="G613" s="355"/>
      <c r="H613" s="355"/>
      <c r="I613" s="355"/>
      <c r="J613" s="355"/>
      <c r="K613" s="355"/>
      <c r="L613" s="355"/>
      <c r="M613" s="355"/>
      <c r="N613" s="166"/>
      <c r="O613" s="355"/>
    </row>
    <row r="614" spans="1:26" s="4" customFormat="1" ht="15.75">
      <c r="A614" s="17" t="s">
        <v>749</v>
      </c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49"/>
      <c r="O614" s="19"/>
    </row>
    <row r="615" spans="1:26" s="4" customFormat="1" ht="15.75">
      <c r="A615" s="239" t="s">
        <v>332</v>
      </c>
      <c r="B615" s="87">
        <f t="shared" ref="B615:G615" si="521">B551</f>
        <v>201</v>
      </c>
      <c r="C615" s="87">
        <f t="shared" si="521"/>
        <v>190</v>
      </c>
      <c r="D615" s="87">
        <f t="shared" si="521"/>
        <v>167</v>
      </c>
      <c r="E615" s="87">
        <f t="shared" si="521"/>
        <v>17</v>
      </c>
      <c r="F615" s="87">
        <f t="shared" si="521"/>
        <v>3</v>
      </c>
      <c r="G615" s="87">
        <f t="shared" si="521"/>
        <v>169</v>
      </c>
      <c r="H615" s="87">
        <f t="shared" ref="H615:I615" si="522">H551</f>
        <v>157</v>
      </c>
      <c r="I615" s="87">
        <f t="shared" si="522"/>
        <v>169</v>
      </c>
      <c r="J615" s="87">
        <f t="shared" ref="J615:M615" si="523">J551</f>
        <v>178</v>
      </c>
      <c r="K615" s="87">
        <f t="shared" si="523"/>
        <v>157</v>
      </c>
      <c r="L615" s="87">
        <f t="shared" si="523"/>
        <v>244</v>
      </c>
      <c r="M615" s="87">
        <f t="shared" si="523"/>
        <v>265</v>
      </c>
      <c r="N615" s="240">
        <f>SUM(B615:M615)</f>
        <v>1917</v>
      </c>
      <c r="O615" s="241">
        <f>IF(N615=0,0,AVERAGE(B615:M615))</f>
        <v>159.75</v>
      </c>
    </row>
    <row r="616" spans="1:26" s="4" customFormat="1" ht="15.75">
      <c r="A616" s="239" t="s">
        <v>136</v>
      </c>
      <c r="B616" s="87">
        <v>491</v>
      </c>
      <c r="C616" s="87">
        <v>903</v>
      </c>
      <c r="D616" s="87">
        <v>775</v>
      </c>
      <c r="E616" s="87">
        <v>366</v>
      </c>
      <c r="F616" s="87">
        <v>343</v>
      </c>
      <c r="G616" s="87">
        <v>515</v>
      </c>
      <c r="H616" s="87">
        <v>599</v>
      </c>
      <c r="I616" s="87">
        <v>700</v>
      </c>
      <c r="J616" s="21">
        <v>703</v>
      </c>
      <c r="K616" s="87">
        <v>613</v>
      </c>
      <c r="L616" s="87">
        <v>553</v>
      </c>
      <c r="M616" s="87">
        <v>555</v>
      </c>
      <c r="N616" s="240">
        <f>SUM(B616:M616)</f>
        <v>7116</v>
      </c>
      <c r="O616" s="241">
        <f>IF(N616=0,0,AVERAGE(B616:M616))</f>
        <v>593</v>
      </c>
    </row>
    <row r="617" spans="1:26" s="4" customFormat="1" ht="15.75">
      <c r="A617" s="62" t="s">
        <v>21</v>
      </c>
      <c r="B617" s="24">
        <f t="shared" ref="B617:C617" si="524">SUM(B615:B616)</f>
        <v>692</v>
      </c>
      <c r="C617" s="24">
        <f t="shared" si="524"/>
        <v>1093</v>
      </c>
      <c r="D617" s="24">
        <f t="shared" ref="D617:E617" si="525">SUM(D615:D616)</f>
        <v>942</v>
      </c>
      <c r="E617" s="24">
        <f t="shared" si="525"/>
        <v>383</v>
      </c>
      <c r="F617" s="24">
        <f t="shared" ref="F617:G617" si="526">SUM(F615:F616)</f>
        <v>346</v>
      </c>
      <c r="G617" s="24">
        <f t="shared" si="526"/>
        <v>684</v>
      </c>
      <c r="H617" s="24">
        <f t="shared" ref="H617:I617" si="527">SUM(H615:H616)</f>
        <v>756</v>
      </c>
      <c r="I617" s="24">
        <f t="shared" si="527"/>
        <v>869</v>
      </c>
      <c r="J617" s="24">
        <f t="shared" ref="J617:K617" si="528">SUM(J615:J616)</f>
        <v>881</v>
      </c>
      <c r="K617" s="24">
        <f t="shared" si="528"/>
        <v>770</v>
      </c>
      <c r="L617" s="24">
        <f t="shared" ref="L617:M617" si="529">SUM(L615:L616)</f>
        <v>797</v>
      </c>
      <c r="M617" s="24">
        <f t="shared" si="529"/>
        <v>820</v>
      </c>
      <c r="N617" s="144">
        <f>SUM(N615:N616)</f>
        <v>9033</v>
      </c>
      <c r="O617" s="25">
        <f>SUM(O615:O616)</f>
        <v>752.75</v>
      </c>
    </row>
    <row r="618" spans="1:26" s="4" customFormat="1" ht="15.75">
      <c r="A618" s="80" t="s">
        <v>112</v>
      </c>
      <c r="B618" s="25">
        <f t="shared" ref="B618:G618" si="530">IF(B617=0,"",B617/B$1870)</f>
        <v>22.322580645161292</v>
      </c>
      <c r="C618" s="25">
        <f t="shared" si="530"/>
        <v>39.035714285714285</v>
      </c>
      <c r="D618" s="25">
        <f t="shared" si="530"/>
        <v>30.387096774193548</v>
      </c>
      <c r="E618" s="25">
        <f t="shared" si="530"/>
        <v>12.766666666666667</v>
      </c>
      <c r="F618" s="25">
        <f t="shared" si="530"/>
        <v>11.161290322580646</v>
      </c>
      <c r="G618" s="25">
        <f t="shared" si="530"/>
        <v>22.8</v>
      </c>
      <c r="H618" s="25">
        <f t="shared" ref="H618:I618" si="531">IF(H617=0,"",H617/H$1870)</f>
        <v>24.387096774193548</v>
      </c>
      <c r="I618" s="25">
        <f t="shared" si="531"/>
        <v>28.032258064516128</v>
      </c>
      <c r="J618" s="25">
        <f t="shared" ref="J618:K618" si="532">IF(J617=0,"",J617/J$1870)</f>
        <v>29.366666666666667</v>
      </c>
      <c r="K618" s="25">
        <f t="shared" si="532"/>
        <v>24.838709677419356</v>
      </c>
      <c r="L618" s="25">
        <f t="shared" ref="L618:M618" si="533">IF(L617=0,"",L617/L$1870)</f>
        <v>26.566666666666666</v>
      </c>
      <c r="M618" s="25">
        <f t="shared" si="533"/>
        <v>26.451612903225808</v>
      </c>
      <c r="N618" s="144">
        <f>SUM(B618:M618)</f>
        <v>298.11635944700458</v>
      </c>
      <c r="O618" s="25">
        <f>IF(N618=0,0,AVERAGE(B618:M618))</f>
        <v>24.84302995391705</v>
      </c>
    </row>
    <row r="619" spans="1:26" s="4" customFormat="1" ht="15.75">
      <c r="A619" s="379"/>
      <c r="B619" s="355"/>
      <c r="C619" s="355"/>
      <c r="D619" s="355"/>
      <c r="E619" s="355"/>
      <c r="F619" s="355"/>
      <c r="G619" s="355"/>
      <c r="H619" s="355"/>
      <c r="I619" s="355"/>
      <c r="J619" s="355"/>
      <c r="K619" s="355"/>
      <c r="L619" s="355"/>
      <c r="M619" s="355"/>
      <c r="N619" s="166"/>
      <c r="O619" s="355"/>
    </row>
    <row r="620" spans="1:26" s="4" customFormat="1" ht="15.75">
      <c r="A620" s="66" t="s">
        <v>750</v>
      </c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49"/>
      <c r="O620" s="19"/>
    </row>
    <row r="621" spans="1:26" s="9" customFormat="1" ht="15.75">
      <c r="A621" s="40" t="s">
        <v>18</v>
      </c>
      <c r="B621" s="21">
        <v>40</v>
      </c>
      <c r="C621" s="21">
        <v>155</v>
      </c>
      <c r="D621" s="21">
        <v>107</v>
      </c>
      <c r="E621" s="21">
        <v>31</v>
      </c>
      <c r="F621" s="21">
        <v>28</v>
      </c>
      <c r="G621" s="21">
        <v>76</v>
      </c>
      <c r="H621" s="21">
        <v>102</v>
      </c>
      <c r="I621" s="21">
        <v>142</v>
      </c>
      <c r="J621" s="21">
        <v>132</v>
      </c>
      <c r="K621" s="21">
        <v>126</v>
      </c>
      <c r="L621" s="21">
        <v>181</v>
      </c>
      <c r="M621" s="21">
        <f>135+163</f>
        <v>298</v>
      </c>
      <c r="N621" s="150">
        <f>SUM(B621:M621)</f>
        <v>1418</v>
      </c>
      <c r="O621" s="22">
        <f>IF(N621=0,0,AVERAGE(B621:M621))</f>
        <v>118.16666666666667</v>
      </c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s="9" customFormat="1" ht="15.75">
      <c r="A622" s="40" t="s">
        <v>19</v>
      </c>
      <c r="B622" s="21">
        <v>250</v>
      </c>
      <c r="C622" s="21">
        <v>571</v>
      </c>
      <c r="D622" s="21">
        <v>487</v>
      </c>
      <c r="E622" s="21">
        <v>197</v>
      </c>
      <c r="F622" s="21">
        <v>190</v>
      </c>
      <c r="G622" s="21">
        <f>201+98</f>
        <v>299</v>
      </c>
      <c r="H622" s="21">
        <f>205+146</f>
        <v>351</v>
      </c>
      <c r="I622" s="21">
        <f>203+172</f>
        <v>375</v>
      </c>
      <c r="J622" s="21">
        <f>183+166</f>
        <v>349</v>
      </c>
      <c r="K622" s="21">
        <f>147+183</f>
        <v>330</v>
      </c>
      <c r="L622" s="21">
        <f>175+80</f>
        <v>255</v>
      </c>
      <c r="M622" s="21">
        <v>140</v>
      </c>
      <c r="N622" s="150">
        <f>SUM(B622:M622)</f>
        <v>3794</v>
      </c>
      <c r="O622" s="22">
        <f>IF(N622=0,0,AVERAGE(B622:M622))</f>
        <v>316.16666666666669</v>
      </c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s="9" customFormat="1" ht="15.75">
      <c r="A623" s="40" t="s">
        <v>20</v>
      </c>
      <c r="B623" s="21">
        <v>201</v>
      </c>
      <c r="C623" s="21">
        <v>177</v>
      </c>
      <c r="D623" s="21">
        <v>181</v>
      </c>
      <c r="E623" s="21">
        <v>138</v>
      </c>
      <c r="F623" s="21">
        <v>125</v>
      </c>
      <c r="G623" s="21">
        <v>140</v>
      </c>
      <c r="H623" s="21">
        <v>146</v>
      </c>
      <c r="I623" s="21">
        <v>183</v>
      </c>
      <c r="J623" s="21">
        <v>222</v>
      </c>
      <c r="K623" s="21">
        <v>157</v>
      </c>
      <c r="L623" s="21">
        <v>117</v>
      </c>
      <c r="M623" s="21">
        <v>167</v>
      </c>
      <c r="N623" s="150">
        <f>SUM(B623:M623)</f>
        <v>1954</v>
      </c>
      <c r="O623" s="22">
        <f>IF(N623=0,0,AVERAGE(B623:M623))</f>
        <v>162.83333333333334</v>
      </c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s="9" customFormat="1" ht="15.75">
      <c r="A624" s="62" t="s">
        <v>21</v>
      </c>
      <c r="B624" s="24">
        <f t="shared" ref="B624:G624" si="534">SUM(B621:B623)</f>
        <v>491</v>
      </c>
      <c r="C624" s="24">
        <f t="shared" si="534"/>
        <v>903</v>
      </c>
      <c r="D624" s="24">
        <f t="shared" si="534"/>
        <v>775</v>
      </c>
      <c r="E624" s="24">
        <f t="shared" si="534"/>
        <v>366</v>
      </c>
      <c r="F624" s="24">
        <f t="shared" si="534"/>
        <v>343</v>
      </c>
      <c r="G624" s="24">
        <f t="shared" si="534"/>
        <v>515</v>
      </c>
      <c r="H624" s="24">
        <f t="shared" ref="H624:I624" si="535">SUM(H621:H623)</f>
        <v>599</v>
      </c>
      <c r="I624" s="24">
        <f t="shared" si="535"/>
        <v>700</v>
      </c>
      <c r="J624" s="24">
        <f t="shared" ref="J624:K624" si="536">SUM(J621:J623)</f>
        <v>703</v>
      </c>
      <c r="K624" s="24">
        <f t="shared" si="536"/>
        <v>613</v>
      </c>
      <c r="L624" s="24">
        <f t="shared" ref="L624:M624" si="537">SUM(L621:L623)</f>
        <v>553</v>
      </c>
      <c r="M624" s="24">
        <f t="shared" si="537"/>
        <v>605</v>
      </c>
      <c r="N624" s="144">
        <f>SUM(N621:N623)</f>
        <v>7166</v>
      </c>
      <c r="O624" s="25">
        <f>SUM(O621:O623)</f>
        <v>597.16666666666674</v>
      </c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s="9" customFormat="1" ht="15.75">
      <c r="A625" s="62" t="s">
        <v>112</v>
      </c>
      <c r="B625" s="25">
        <f t="shared" ref="B625:G625" si="538">IF(B624=0,"",B624/B$1870)</f>
        <v>15.838709677419354</v>
      </c>
      <c r="C625" s="25">
        <f t="shared" si="538"/>
        <v>32.25</v>
      </c>
      <c r="D625" s="25">
        <f t="shared" si="538"/>
        <v>25</v>
      </c>
      <c r="E625" s="25">
        <f t="shared" si="538"/>
        <v>12.2</v>
      </c>
      <c r="F625" s="25">
        <f t="shared" si="538"/>
        <v>11.064516129032258</v>
      </c>
      <c r="G625" s="25">
        <f t="shared" si="538"/>
        <v>17.166666666666668</v>
      </c>
      <c r="H625" s="25">
        <f t="shared" ref="H625:I625" si="539">IF(H624=0,"",H624/H$1870)</f>
        <v>19.322580645161292</v>
      </c>
      <c r="I625" s="25">
        <f t="shared" si="539"/>
        <v>22.580645161290324</v>
      </c>
      <c r="J625" s="25">
        <f t="shared" ref="J625:K625" si="540">IF(J624=0,"",J624/J$1870)</f>
        <v>23.433333333333334</v>
      </c>
      <c r="K625" s="25">
        <f t="shared" si="540"/>
        <v>19.774193548387096</v>
      </c>
      <c r="L625" s="25">
        <f t="shared" ref="L625:M625" si="541">IF(L624=0,"",L624/L$1870)</f>
        <v>18.433333333333334</v>
      </c>
      <c r="M625" s="25">
        <f t="shared" si="541"/>
        <v>19.516129032258064</v>
      </c>
      <c r="N625" s="144">
        <f>SUM(B625:M625)</f>
        <v>236.58010752688176</v>
      </c>
      <c r="O625" s="25">
        <f>IF(N625=0,0,AVERAGE(B625:M625))</f>
        <v>19.715008960573481</v>
      </c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s="9" customFormat="1" ht="15.75">
      <c r="A626" s="94"/>
      <c r="B626" s="95"/>
      <c r="C626" s="95"/>
      <c r="D626" s="95"/>
      <c r="E626" s="96"/>
      <c r="F626" s="96"/>
      <c r="G626" s="96"/>
      <c r="H626" s="96"/>
      <c r="I626" s="96"/>
      <c r="J626" s="96"/>
      <c r="K626" s="96"/>
      <c r="L626" s="96"/>
      <c r="M626" s="96"/>
      <c r="N626" s="168"/>
      <c r="O626" s="16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s="9" customFormat="1" ht="15.75">
      <c r="A627" s="66" t="s">
        <v>751</v>
      </c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49"/>
      <c r="O627" s="19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s="9" customFormat="1" ht="15.75">
      <c r="A628" s="37" t="s">
        <v>114</v>
      </c>
      <c r="B628" s="21">
        <f t="shared" ref="B628:G628" si="542">B615</f>
        <v>201</v>
      </c>
      <c r="C628" s="21">
        <f t="shared" si="542"/>
        <v>190</v>
      </c>
      <c r="D628" s="21">
        <f t="shared" si="542"/>
        <v>167</v>
      </c>
      <c r="E628" s="21">
        <f t="shared" si="542"/>
        <v>17</v>
      </c>
      <c r="F628" s="21">
        <f t="shared" si="542"/>
        <v>3</v>
      </c>
      <c r="G628" s="21">
        <f t="shared" si="542"/>
        <v>169</v>
      </c>
      <c r="H628" s="21">
        <f t="shared" ref="H628:I628" si="543">H615</f>
        <v>157</v>
      </c>
      <c r="I628" s="21">
        <f t="shared" si="543"/>
        <v>169</v>
      </c>
      <c r="J628" s="21">
        <f t="shared" ref="J628:K628" si="544">J615</f>
        <v>178</v>
      </c>
      <c r="K628" s="21">
        <f t="shared" si="544"/>
        <v>157</v>
      </c>
      <c r="L628" s="21">
        <f t="shared" ref="L628:M628" si="545">L615</f>
        <v>244</v>
      </c>
      <c r="M628" s="21">
        <f t="shared" si="545"/>
        <v>265</v>
      </c>
      <c r="N628" s="150">
        <f>SUM(B628:M628)</f>
        <v>1917</v>
      </c>
      <c r="O628" s="22">
        <f>IF(N628=0,0,AVERAGE(B628:M628))</f>
        <v>159.75</v>
      </c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s="9" customFormat="1" ht="15.75">
      <c r="A629" s="62" t="s">
        <v>21</v>
      </c>
      <c r="B629" s="24">
        <f t="shared" ref="B629:C629" si="546">SUM(B628)</f>
        <v>201</v>
      </c>
      <c r="C629" s="24">
        <f t="shared" si="546"/>
        <v>190</v>
      </c>
      <c r="D629" s="24">
        <f t="shared" ref="D629:E629" si="547">SUM(D628)</f>
        <v>167</v>
      </c>
      <c r="E629" s="24">
        <f t="shared" si="547"/>
        <v>17</v>
      </c>
      <c r="F629" s="24">
        <f t="shared" ref="F629:G629" si="548">SUM(F628)</f>
        <v>3</v>
      </c>
      <c r="G629" s="24">
        <f t="shared" si="548"/>
        <v>169</v>
      </c>
      <c r="H629" s="24">
        <f t="shared" ref="H629:I629" si="549">SUM(H628)</f>
        <v>157</v>
      </c>
      <c r="I629" s="24">
        <f t="shared" si="549"/>
        <v>169</v>
      </c>
      <c r="J629" s="24">
        <f t="shared" ref="J629:K629" si="550">SUM(J628)</f>
        <v>178</v>
      </c>
      <c r="K629" s="24">
        <f t="shared" si="550"/>
        <v>157</v>
      </c>
      <c r="L629" s="24">
        <f t="shared" ref="L629:M629" si="551">SUM(L628)</f>
        <v>244</v>
      </c>
      <c r="M629" s="24">
        <f t="shared" si="551"/>
        <v>265</v>
      </c>
      <c r="N629" s="144">
        <f>SUM(N628)</f>
        <v>1917</v>
      </c>
      <c r="O629" s="25">
        <f>SUM(O628)</f>
        <v>159.75</v>
      </c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s="9" customFormat="1" ht="15.75">
      <c r="A630" s="62" t="s">
        <v>112</v>
      </c>
      <c r="B630" s="25">
        <f t="shared" ref="B630:G630" si="552">IF(B629=0,"",B629/B$1870)</f>
        <v>6.4838709677419351</v>
      </c>
      <c r="C630" s="25">
        <f t="shared" si="552"/>
        <v>6.7857142857142856</v>
      </c>
      <c r="D630" s="25">
        <f t="shared" si="552"/>
        <v>5.387096774193548</v>
      </c>
      <c r="E630" s="25">
        <f t="shared" si="552"/>
        <v>0.56666666666666665</v>
      </c>
      <c r="F630" s="25">
        <f t="shared" si="552"/>
        <v>9.6774193548387094E-2</v>
      </c>
      <c r="G630" s="25">
        <f t="shared" si="552"/>
        <v>5.6333333333333337</v>
      </c>
      <c r="H630" s="25">
        <f t="shared" ref="H630:I630" si="553">IF(H629=0,"",H629/H$1870)</f>
        <v>5.064516129032258</v>
      </c>
      <c r="I630" s="25">
        <f t="shared" si="553"/>
        <v>5.4516129032258061</v>
      </c>
      <c r="J630" s="25">
        <f t="shared" ref="J630:K630" si="554">IF(J629=0,"",J629/J$1870)</f>
        <v>5.9333333333333336</v>
      </c>
      <c r="K630" s="25">
        <f t="shared" si="554"/>
        <v>5.064516129032258</v>
      </c>
      <c r="L630" s="25">
        <f t="shared" ref="L630:M630" si="555">IF(L629=0,"",L629/L$1870)</f>
        <v>8.1333333333333329</v>
      </c>
      <c r="M630" s="25">
        <f t="shared" si="555"/>
        <v>8.5483870967741939</v>
      </c>
      <c r="N630" s="144">
        <f>SUM(B630:M630)</f>
        <v>63.149155145929335</v>
      </c>
      <c r="O630" s="25">
        <f>IF(N630=0,0,AVERAGE(B630:M630))</f>
        <v>5.2624295954941109</v>
      </c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s="217" customForma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242"/>
      <c r="Q631" s="242"/>
      <c r="R631" s="242"/>
      <c r="S631" s="242"/>
      <c r="T631" s="242"/>
      <c r="U631" s="242"/>
      <c r="V631" s="242"/>
      <c r="W631" s="242"/>
      <c r="X631" s="242"/>
      <c r="Y631" s="242"/>
      <c r="Z631" s="242"/>
    </row>
    <row r="632" spans="1:26" s="217" customFormat="1" ht="15.75">
      <c r="A632" s="97" t="s">
        <v>728</v>
      </c>
      <c r="B632" s="92">
        <f t="shared" ref="B632:C632" si="556">B624</f>
        <v>491</v>
      </c>
      <c r="C632" s="92">
        <f t="shared" si="556"/>
        <v>903</v>
      </c>
      <c r="D632" s="92">
        <f t="shared" ref="D632:E632" si="557">D624</f>
        <v>775</v>
      </c>
      <c r="E632" s="92">
        <f t="shared" si="557"/>
        <v>366</v>
      </c>
      <c r="F632" s="92">
        <f t="shared" ref="F632:G632" si="558">F624</f>
        <v>343</v>
      </c>
      <c r="G632" s="92">
        <f t="shared" si="558"/>
        <v>515</v>
      </c>
      <c r="H632" s="92">
        <f t="shared" ref="H632:I632" si="559">H624</f>
        <v>599</v>
      </c>
      <c r="I632" s="92">
        <f t="shared" si="559"/>
        <v>700</v>
      </c>
      <c r="J632" s="92">
        <f t="shared" ref="J632:K632" si="560">J624</f>
        <v>703</v>
      </c>
      <c r="K632" s="92">
        <f t="shared" si="560"/>
        <v>613</v>
      </c>
      <c r="L632" s="92">
        <f t="shared" ref="L632:M632" si="561">L624</f>
        <v>553</v>
      </c>
      <c r="M632" s="92">
        <f t="shared" si="561"/>
        <v>605</v>
      </c>
      <c r="N632" s="150">
        <f>SUM(B632:M632)</f>
        <v>7166</v>
      </c>
      <c r="O632" s="22">
        <f>IF(N632=0,0,AVERAGE(B632:M632))</f>
        <v>597.16666666666663</v>
      </c>
      <c r="P632" s="242"/>
      <c r="Q632" s="242"/>
      <c r="R632" s="242"/>
      <c r="S632" s="242"/>
      <c r="T632" s="242"/>
      <c r="U632" s="242"/>
      <c r="V632" s="242"/>
      <c r="W632" s="242"/>
      <c r="X632" s="242"/>
      <c r="Y632" s="242"/>
      <c r="Z632" s="242"/>
    </row>
    <row r="633" spans="1:26" s="9" customFormat="1" ht="15.75">
      <c r="A633" s="97" t="s">
        <v>729</v>
      </c>
      <c r="B633" s="92">
        <f t="shared" ref="B633:C633" si="562">B629</f>
        <v>201</v>
      </c>
      <c r="C633" s="92">
        <f t="shared" si="562"/>
        <v>190</v>
      </c>
      <c r="D633" s="92">
        <f t="shared" ref="D633:E633" si="563">D629</f>
        <v>167</v>
      </c>
      <c r="E633" s="92">
        <f t="shared" si="563"/>
        <v>17</v>
      </c>
      <c r="F633" s="92">
        <f t="shared" ref="F633:G633" si="564">F629</f>
        <v>3</v>
      </c>
      <c r="G633" s="92">
        <f t="shared" si="564"/>
        <v>169</v>
      </c>
      <c r="H633" s="92">
        <f t="shared" ref="H633:I633" si="565">H629</f>
        <v>157</v>
      </c>
      <c r="I633" s="92">
        <f t="shared" si="565"/>
        <v>169</v>
      </c>
      <c r="J633" s="92">
        <f t="shared" ref="J633:K633" si="566">J629</f>
        <v>178</v>
      </c>
      <c r="K633" s="92">
        <f t="shared" si="566"/>
        <v>157</v>
      </c>
      <c r="L633" s="92">
        <f t="shared" ref="L633:M633" si="567">L629</f>
        <v>244</v>
      </c>
      <c r="M633" s="92">
        <f t="shared" si="567"/>
        <v>265</v>
      </c>
      <c r="N633" s="150">
        <f>SUM(B633:M633)</f>
        <v>1917</v>
      </c>
      <c r="O633" s="22">
        <f>IF(N633=0,0,AVERAGE(B633:M633))</f>
        <v>159.75</v>
      </c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s="9" customFormat="1" ht="15.75">
      <c r="A634" s="267" t="s">
        <v>730</v>
      </c>
      <c r="B634" s="372">
        <f t="shared" ref="B634:C634" si="568">SUM(B632:B633)</f>
        <v>692</v>
      </c>
      <c r="C634" s="372">
        <f t="shared" si="568"/>
        <v>1093</v>
      </c>
      <c r="D634" s="372">
        <f t="shared" ref="D634:E634" si="569">SUM(D632:D633)</f>
        <v>942</v>
      </c>
      <c r="E634" s="372">
        <f t="shared" si="569"/>
        <v>383</v>
      </c>
      <c r="F634" s="372">
        <f t="shared" ref="F634:G634" si="570">SUM(F632:F633)</f>
        <v>346</v>
      </c>
      <c r="G634" s="372">
        <f t="shared" si="570"/>
        <v>684</v>
      </c>
      <c r="H634" s="372">
        <f t="shared" ref="H634:I634" si="571">SUM(H632:H633)</f>
        <v>756</v>
      </c>
      <c r="I634" s="372">
        <f t="shared" si="571"/>
        <v>869</v>
      </c>
      <c r="J634" s="372">
        <f t="shared" ref="J634:K634" si="572">SUM(J632:J633)</f>
        <v>881</v>
      </c>
      <c r="K634" s="372">
        <f t="shared" si="572"/>
        <v>770</v>
      </c>
      <c r="L634" s="372">
        <f t="shared" ref="L634:M634" si="573">SUM(L632:L633)</f>
        <v>797</v>
      </c>
      <c r="M634" s="372">
        <f t="shared" si="573"/>
        <v>870</v>
      </c>
      <c r="N634" s="373">
        <f>SUM(N632:N633)</f>
        <v>9083</v>
      </c>
      <c r="O634" s="374">
        <f>SUM(O632:O633)</f>
        <v>756.91666666666663</v>
      </c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s="9" customFormat="1">
      <c r="A635" s="26"/>
      <c r="B635" s="27"/>
      <c r="C635" s="27"/>
      <c r="D635" s="27"/>
      <c r="E635" s="28"/>
      <c r="F635" s="28"/>
      <c r="G635" s="28"/>
      <c r="H635" s="28"/>
      <c r="I635" s="28"/>
      <c r="J635" s="28"/>
      <c r="K635" s="28"/>
      <c r="L635" s="28"/>
      <c r="M635" s="28"/>
      <c r="N635" s="151"/>
      <c r="O635" s="16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s="9" customFormat="1" ht="15.75">
      <c r="A636" s="17" t="s">
        <v>752</v>
      </c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49"/>
      <c r="O636" s="19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s="9" customFormat="1" ht="15.75">
      <c r="A637" s="37" t="s">
        <v>332</v>
      </c>
      <c r="B637" s="21">
        <f t="shared" ref="B637:K637" si="574">B552</f>
        <v>42</v>
      </c>
      <c r="C637" s="21">
        <f t="shared" si="574"/>
        <v>39</v>
      </c>
      <c r="D637" s="21">
        <f t="shared" si="574"/>
        <v>20</v>
      </c>
      <c r="E637" s="21">
        <f t="shared" si="574"/>
        <v>7</v>
      </c>
      <c r="F637" s="21">
        <f t="shared" si="574"/>
        <v>1</v>
      </c>
      <c r="G637" s="21">
        <f t="shared" si="574"/>
        <v>12</v>
      </c>
      <c r="H637" s="21">
        <f t="shared" si="574"/>
        <v>6</v>
      </c>
      <c r="I637" s="21">
        <f t="shared" si="574"/>
        <v>18</v>
      </c>
      <c r="J637" s="21">
        <f t="shared" si="574"/>
        <v>63</v>
      </c>
      <c r="K637" s="21">
        <f t="shared" si="574"/>
        <v>113</v>
      </c>
      <c r="L637" s="21">
        <f>L552</f>
        <v>99</v>
      </c>
      <c r="M637" s="21">
        <f>M552</f>
        <v>119</v>
      </c>
      <c r="N637" s="150">
        <f>SUM(B637:M637)</f>
        <v>539</v>
      </c>
      <c r="O637" s="22">
        <f>IF(N637=0,0,AVERAGE(B637:M637))</f>
        <v>44.916666666666664</v>
      </c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s="217" customFormat="1" ht="15.75">
      <c r="A638" s="239" t="s">
        <v>136</v>
      </c>
      <c r="B638" s="87">
        <v>127</v>
      </c>
      <c r="C638" s="87">
        <v>179</v>
      </c>
      <c r="D638" s="87">
        <v>102</v>
      </c>
      <c r="E638" s="87">
        <v>68</v>
      </c>
      <c r="F638" s="87">
        <v>43</v>
      </c>
      <c r="G638" s="87">
        <v>104</v>
      </c>
      <c r="H638" s="87">
        <v>144</v>
      </c>
      <c r="I638" s="87">
        <v>144</v>
      </c>
      <c r="J638" s="87">
        <f>26+17+40</f>
        <v>83</v>
      </c>
      <c r="K638" s="87">
        <v>132</v>
      </c>
      <c r="L638" s="87">
        <v>126</v>
      </c>
      <c r="M638" s="87">
        <v>160</v>
      </c>
      <c r="N638" s="240">
        <f>SUM(B638:M638)</f>
        <v>1412</v>
      </c>
      <c r="O638" s="241">
        <f>IF(N638=0,0,AVERAGE(B638:M638))</f>
        <v>117.66666666666667</v>
      </c>
      <c r="P638" s="242"/>
      <c r="Q638" s="242"/>
      <c r="R638" s="242"/>
      <c r="S638" s="242"/>
      <c r="T638" s="242"/>
      <c r="U638" s="242"/>
      <c r="V638" s="242"/>
      <c r="W638" s="242"/>
      <c r="X638" s="242"/>
      <c r="Y638" s="242"/>
      <c r="Z638" s="242"/>
    </row>
    <row r="639" spans="1:26" s="9" customFormat="1" ht="15.75">
      <c r="A639" s="201" t="s">
        <v>137</v>
      </c>
      <c r="B639" s="71">
        <v>2</v>
      </c>
      <c r="C639" s="71">
        <v>2</v>
      </c>
      <c r="D639" s="71">
        <v>0</v>
      </c>
      <c r="E639" s="71">
        <v>1</v>
      </c>
      <c r="F639" s="71">
        <v>3</v>
      </c>
      <c r="G639" s="71">
        <v>6</v>
      </c>
      <c r="H639" s="71">
        <v>0</v>
      </c>
      <c r="I639" s="71">
        <v>6</v>
      </c>
      <c r="J639" s="71">
        <v>0</v>
      </c>
      <c r="K639" s="71">
        <v>9</v>
      </c>
      <c r="L639" s="71">
        <v>7</v>
      </c>
      <c r="M639" s="71">
        <v>0</v>
      </c>
      <c r="N639" s="162">
        <f>SUM(B639:M639)</f>
        <v>36</v>
      </c>
      <c r="O639" s="72">
        <f>IF(N639=0,0,AVERAGE(B639:M639))</f>
        <v>3</v>
      </c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s="9" customFormat="1" ht="30">
      <c r="A640" s="53" t="s">
        <v>138</v>
      </c>
      <c r="B640" s="38">
        <v>0</v>
      </c>
      <c r="C640" s="38">
        <v>0</v>
      </c>
      <c r="D640" s="38">
        <v>0</v>
      </c>
      <c r="E640" s="38">
        <v>0</v>
      </c>
      <c r="F640" s="38">
        <v>0</v>
      </c>
      <c r="G640" s="38">
        <v>0</v>
      </c>
      <c r="H640" s="38">
        <v>0</v>
      </c>
      <c r="I640" s="38">
        <v>0</v>
      </c>
      <c r="J640" s="38">
        <v>0</v>
      </c>
      <c r="K640" s="38">
        <v>0</v>
      </c>
      <c r="L640" s="38">
        <v>0</v>
      </c>
      <c r="M640" s="38">
        <v>11</v>
      </c>
      <c r="N640" s="155">
        <f>SUM(B640:M640)</f>
        <v>11</v>
      </c>
      <c r="O640" s="45">
        <f>IF(N640=0,0,AVERAGE(B640:M640))</f>
        <v>0.91666666666666663</v>
      </c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s="9" customFormat="1" ht="15.75">
      <c r="A641" s="73" t="s">
        <v>21</v>
      </c>
      <c r="B641" s="47">
        <f t="shared" ref="B641:G641" si="575">SUM(B637:B640)</f>
        <v>171</v>
      </c>
      <c r="C641" s="47">
        <f t="shared" si="575"/>
        <v>220</v>
      </c>
      <c r="D641" s="47">
        <f t="shared" si="575"/>
        <v>122</v>
      </c>
      <c r="E641" s="47">
        <f t="shared" si="575"/>
        <v>76</v>
      </c>
      <c r="F641" s="47">
        <f t="shared" si="575"/>
        <v>47</v>
      </c>
      <c r="G641" s="47">
        <f t="shared" si="575"/>
        <v>122</v>
      </c>
      <c r="H641" s="47">
        <f t="shared" ref="H641:I641" si="576">SUM(H637:H640)</f>
        <v>150</v>
      </c>
      <c r="I641" s="47">
        <f t="shared" si="576"/>
        <v>168</v>
      </c>
      <c r="J641" s="47">
        <f t="shared" ref="J641:L641" si="577">SUM(J637:J640)</f>
        <v>146</v>
      </c>
      <c r="K641" s="47">
        <f t="shared" si="577"/>
        <v>254</v>
      </c>
      <c r="L641" s="47">
        <f t="shared" si="577"/>
        <v>232</v>
      </c>
      <c r="M641" s="47">
        <f t="shared" ref="M641" si="578">SUM(M637:M640)</f>
        <v>290</v>
      </c>
      <c r="N641" s="156">
        <f>SUM(N637:N640)</f>
        <v>1998</v>
      </c>
      <c r="O641" s="48">
        <f>SUM(O637:O640)</f>
        <v>166.5</v>
      </c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s="9" customFormat="1" ht="15.75">
      <c r="A642" s="203" t="s">
        <v>112</v>
      </c>
      <c r="B642" s="48">
        <f t="shared" ref="B642:G642" si="579">IF(B641=0,"",B641/B$1870)</f>
        <v>5.5161290322580649</v>
      </c>
      <c r="C642" s="48">
        <f t="shared" si="579"/>
        <v>7.8571428571428568</v>
      </c>
      <c r="D642" s="48">
        <f t="shared" si="579"/>
        <v>3.935483870967742</v>
      </c>
      <c r="E642" s="48">
        <f t="shared" si="579"/>
        <v>2.5333333333333332</v>
      </c>
      <c r="F642" s="48">
        <f t="shared" si="579"/>
        <v>1.5161290322580645</v>
      </c>
      <c r="G642" s="48">
        <f t="shared" si="579"/>
        <v>4.0666666666666664</v>
      </c>
      <c r="H642" s="48">
        <f t="shared" ref="H642:I642" si="580">IF(H641=0,"",H641/H$1870)</f>
        <v>4.838709677419355</v>
      </c>
      <c r="I642" s="48">
        <f t="shared" si="580"/>
        <v>5.419354838709677</v>
      </c>
      <c r="J642" s="48">
        <f t="shared" ref="J642:L642" si="581">IF(J641=0,"",J641/J$1870)</f>
        <v>4.8666666666666663</v>
      </c>
      <c r="K642" s="48">
        <f t="shared" si="581"/>
        <v>8.193548387096774</v>
      </c>
      <c r="L642" s="48">
        <f t="shared" si="581"/>
        <v>7.7333333333333334</v>
      </c>
      <c r="M642" s="48">
        <f t="shared" ref="M642" si="582">IF(M641=0,"",M641/M$1870)</f>
        <v>9.3548387096774199</v>
      </c>
      <c r="N642" s="156">
        <f>SUM(B642:M642)</f>
        <v>65.831336405529953</v>
      </c>
      <c r="O642" s="48">
        <f>IF(N642=0,0,AVERAGE(B642:M642))</f>
        <v>5.4859447004608297</v>
      </c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customFormat="1" ht="14.25">
      <c r="C643" s="4"/>
    </row>
    <row r="644" spans="1:26" s="4" customFormat="1" ht="15.75">
      <c r="A644" s="66" t="s">
        <v>753</v>
      </c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49"/>
      <c r="O644" s="19"/>
    </row>
    <row r="645" spans="1:26" s="4" customFormat="1" ht="15.75">
      <c r="A645" s="40" t="s">
        <v>18</v>
      </c>
      <c r="B645" s="21">
        <v>38</v>
      </c>
      <c r="C645" s="21">
        <v>42</v>
      </c>
      <c r="D645" s="21">
        <v>10</v>
      </c>
      <c r="E645" s="21">
        <v>1</v>
      </c>
      <c r="F645" s="21">
        <v>15</v>
      </c>
      <c r="G645" s="21">
        <v>15</v>
      </c>
      <c r="H645" s="21">
        <v>22</v>
      </c>
      <c r="I645" s="21">
        <v>27</v>
      </c>
      <c r="J645" s="21">
        <v>0</v>
      </c>
      <c r="K645" s="21">
        <v>35</v>
      </c>
      <c r="L645" s="21">
        <v>30</v>
      </c>
      <c r="M645" s="21">
        <f>2+1</f>
        <v>3</v>
      </c>
      <c r="N645" s="150">
        <f>SUM(B645:M645)</f>
        <v>238</v>
      </c>
      <c r="O645" s="22">
        <f>IF(N645=0,0,AVERAGE(B645:M645))</f>
        <v>19.833333333333332</v>
      </c>
    </row>
    <row r="646" spans="1:26" s="4" customFormat="1" ht="15.75">
      <c r="A646" s="40" t="s">
        <v>19</v>
      </c>
      <c r="B646" s="21">
        <v>67</v>
      </c>
      <c r="C646" s="21">
        <v>80</v>
      </c>
      <c r="D646" s="21">
        <v>48</v>
      </c>
      <c r="E646" s="21">
        <v>38</v>
      </c>
      <c r="F646" s="21">
        <v>20</v>
      </c>
      <c r="G646" s="21">
        <v>50</v>
      </c>
      <c r="H646" s="21">
        <f>41+59</f>
        <v>100</v>
      </c>
      <c r="I646" s="21">
        <f>11+30</f>
        <v>41</v>
      </c>
      <c r="J646" s="21">
        <f>26+17</f>
        <v>43</v>
      </c>
      <c r="K646" s="21">
        <f>36+2</f>
        <v>38</v>
      </c>
      <c r="L646" s="21">
        <f>9+5</f>
        <v>14</v>
      </c>
      <c r="M646" s="21">
        <v>33</v>
      </c>
      <c r="N646" s="150">
        <f>SUM(B646:M646)</f>
        <v>572</v>
      </c>
      <c r="O646" s="22">
        <f>IF(N646=0,0,AVERAGE(B646:M646))</f>
        <v>47.666666666666664</v>
      </c>
    </row>
    <row r="647" spans="1:26" s="4" customFormat="1" ht="15.75">
      <c r="A647" s="40" t="s">
        <v>20</v>
      </c>
      <c r="B647" s="21">
        <v>22</v>
      </c>
      <c r="C647" s="21">
        <v>18</v>
      </c>
      <c r="D647" s="21">
        <v>44</v>
      </c>
      <c r="E647" s="21">
        <v>17</v>
      </c>
      <c r="F647" s="21">
        <v>9</v>
      </c>
      <c r="G647" s="21">
        <v>33</v>
      </c>
      <c r="H647" s="21">
        <v>17</v>
      </c>
      <c r="I647" s="21">
        <v>82</v>
      </c>
      <c r="J647" s="21">
        <v>40</v>
      </c>
      <c r="K647" s="21">
        <v>68</v>
      </c>
      <c r="L647" s="21">
        <v>89</v>
      </c>
      <c r="M647" s="21">
        <v>135</v>
      </c>
      <c r="N647" s="150">
        <f>SUM(B647:M647)</f>
        <v>574</v>
      </c>
      <c r="O647" s="22">
        <f>IF(N647=0,0,AVERAGE(B647:M647))</f>
        <v>47.833333333333336</v>
      </c>
    </row>
    <row r="648" spans="1:26" s="4" customFormat="1" ht="15.75">
      <c r="A648" s="62" t="s">
        <v>21</v>
      </c>
      <c r="B648" s="24">
        <f t="shared" ref="B648:G648" si="583">SUM(B645:B647)</f>
        <v>127</v>
      </c>
      <c r="C648" s="24">
        <f t="shared" si="583"/>
        <v>140</v>
      </c>
      <c r="D648" s="24">
        <f t="shared" si="583"/>
        <v>102</v>
      </c>
      <c r="E648" s="24">
        <f t="shared" si="583"/>
        <v>56</v>
      </c>
      <c r="F648" s="24">
        <f t="shared" si="583"/>
        <v>44</v>
      </c>
      <c r="G648" s="24">
        <f t="shared" si="583"/>
        <v>98</v>
      </c>
      <c r="H648" s="24">
        <f t="shared" ref="H648:J648" si="584">SUM(H645:H647)</f>
        <v>139</v>
      </c>
      <c r="I648" s="24">
        <f t="shared" si="584"/>
        <v>150</v>
      </c>
      <c r="J648" s="24">
        <f t="shared" si="584"/>
        <v>83</v>
      </c>
      <c r="K648" s="24">
        <f t="shared" ref="K648:L648" si="585">SUM(K645:K647)</f>
        <v>141</v>
      </c>
      <c r="L648" s="24">
        <f t="shared" si="585"/>
        <v>133</v>
      </c>
      <c r="M648" s="24">
        <f t="shared" ref="M648" si="586">SUM(M645:M647)</f>
        <v>171</v>
      </c>
      <c r="N648" s="144">
        <f>SUM(N645:N647)</f>
        <v>1384</v>
      </c>
      <c r="O648" s="25">
        <f>SUM(O645:O647)</f>
        <v>115.33333333333334</v>
      </c>
    </row>
    <row r="649" spans="1:26" s="4" customFormat="1" ht="15.75">
      <c r="A649" s="62" t="s">
        <v>112</v>
      </c>
      <c r="B649" s="25">
        <f t="shared" ref="B649:G649" si="587">IF(B648=0,"",B648/B$1870)</f>
        <v>4.096774193548387</v>
      </c>
      <c r="C649" s="25">
        <f t="shared" si="587"/>
        <v>5</v>
      </c>
      <c r="D649" s="25">
        <f t="shared" si="587"/>
        <v>3.2903225806451615</v>
      </c>
      <c r="E649" s="25">
        <f t="shared" si="587"/>
        <v>1.8666666666666667</v>
      </c>
      <c r="F649" s="25">
        <f t="shared" si="587"/>
        <v>1.4193548387096775</v>
      </c>
      <c r="G649" s="25">
        <f t="shared" si="587"/>
        <v>3.2666666666666666</v>
      </c>
      <c r="H649" s="25">
        <f t="shared" ref="H649:I649" si="588">IF(H648=0,"",H648/H$1870)</f>
        <v>4.4838709677419351</v>
      </c>
      <c r="I649" s="25">
        <f t="shared" si="588"/>
        <v>4.838709677419355</v>
      </c>
      <c r="J649" s="25">
        <f t="shared" ref="J649:K649" si="589">IF(J648=0,"",J648/J$1870)</f>
        <v>2.7666666666666666</v>
      </c>
      <c r="K649" s="25">
        <f t="shared" si="589"/>
        <v>4.5483870967741939</v>
      </c>
      <c r="L649" s="25">
        <f t="shared" ref="L649:M649" si="590">IF(L648=0,"",L648/L$1870)</f>
        <v>4.4333333333333336</v>
      </c>
      <c r="M649" s="25">
        <f t="shared" si="590"/>
        <v>5.5161290322580649</v>
      </c>
      <c r="N649" s="144">
        <f>SUM(B649:M649)</f>
        <v>45.526881720430111</v>
      </c>
      <c r="O649" s="25">
        <f>IF(N649=0,0,AVERAGE(B649:M649))</f>
        <v>3.7939068100358426</v>
      </c>
    </row>
    <row r="650" spans="1:26" s="4" customFormat="1" ht="15.75">
      <c r="A650" s="94"/>
      <c r="B650" s="95"/>
      <c r="C650" s="95"/>
      <c r="D650" s="95"/>
      <c r="E650" s="95"/>
      <c r="F650" s="96"/>
      <c r="G650" s="96"/>
      <c r="H650" s="96"/>
      <c r="I650" s="96"/>
      <c r="J650" s="96"/>
      <c r="K650" s="96"/>
      <c r="L650" s="96"/>
      <c r="M650" s="96"/>
      <c r="N650" s="168"/>
      <c r="O650" s="16"/>
    </row>
    <row r="651" spans="1:26" s="4" customFormat="1" ht="15.75">
      <c r="A651" s="66" t="s">
        <v>754</v>
      </c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49"/>
      <c r="O651" s="19"/>
    </row>
    <row r="652" spans="1:26" s="4" customFormat="1" ht="15.75">
      <c r="A652" s="37" t="s">
        <v>114</v>
      </c>
      <c r="B652" s="21">
        <f t="shared" ref="B652:H652" si="591">B552</f>
        <v>42</v>
      </c>
      <c r="C652" s="21">
        <f t="shared" si="591"/>
        <v>39</v>
      </c>
      <c r="D652" s="21">
        <f t="shared" si="591"/>
        <v>20</v>
      </c>
      <c r="E652" s="21">
        <f t="shared" si="591"/>
        <v>7</v>
      </c>
      <c r="F652" s="21">
        <f t="shared" si="591"/>
        <v>1</v>
      </c>
      <c r="G652" s="21">
        <f t="shared" si="591"/>
        <v>12</v>
      </c>
      <c r="H652" s="21">
        <f t="shared" si="591"/>
        <v>6</v>
      </c>
      <c r="I652" s="21">
        <f t="shared" ref="I652" si="592">I552</f>
        <v>18</v>
      </c>
      <c r="J652" s="21">
        <v>63</v>
      </c>
      <c r="K652" s="21">
        <v>130</v>
      </c>
      <c r="L652" s="21">
        <f>L637</f>
        <v>99</v>
      </c>
      <c r="M652" s="21">
        <f>M637</f>
        <v>119</v>
      </c>
      <c r="N652" s="150">
        <f>SUM(B652:M652)</f>
        <v>556</v>
      </c>
      <c r="O652" s="22">
        <f>IF(N652=0,0,AVERAGE(B652:M652))</f>
        <v>46.333333333333336</v>
      </c>
    </row>
    <row r="653" spans="1:26" s="4" customFormat="1" ht="15.75">
      <c r="A653" s="62" t="s">
        <v>21</v>
      </c>
      <c r="B653" s="24">
        <f t="shared" ref="B653:C653" si="593">SUM(B652)</f>
        <v>42</v>
      </c>
      <c r="C653" s="24">
        <f t="shared" si="593"/>
        <v>39</v>
      </c>
      <c r="D653" s="24">
        <f t="shared" ref="D653:E653" si="594">SUM(D652)</f>
        <v>20</v>
      </c>
      <c r="E653" s="24">
        <f t="shared" si="594"/>
        <v>7</v>
      </c>
      <c r="F653" s="24">
        <f t="shared" ref="F653:G653" si="595">SUM(F652)</f>
        <v>1</v>
      </c>
      <c r="G653" s="24">
        <f t="shared" si="595"/>
        <v>12</v>
      </c>
      <c r="H653" s="24">
        <f t="shared" ref="H653:I653" si="596">SUM(H652)</f>
        <v>6</v>
      </c>
      <c r="I653" s="24">
        <f t="shared" si="596"/>
        <v>18</v>
      </c>
      <c r="J653" s="24">
        <f t="shared" ref="J653:K653" si="597">SUM(J652)</f>
        <v>63</v>
      </c>
      <c r="K653" s="24">
        <f t="shared" si="597"/>
        <v>130</v>
      </c>
      <c r="L653" s="24">
        <f t="shared" ref="L653:M653" si="598">SUM(L652)</f>
        <v>99</v>
      </c>
      <c r="M653" s="24">
        <f t="shared" si="598"/>
        <v>119</v>
      </c>
      <c r="N653" s="144">
        <f>SUM(N652)</f>
        <v>556</v>
      </c>
      <c r="O653" s="25">
        <f>SUM(O652)</f>
        <v>46.333333333333336</v>
      </c>
    </row>
    <row r="654" spans="1:26" s="4" customFormat="1" ht="15.75">
      <c r="A654" s="62" t="s">
        <v>112</v>
      </c>
      <c r="B654" s="25">
        <f t="shared" ref="B654:G654" si="599">IF(B653=0,"",B653/B$1870)</f>
        <v>1.3548387096774193</v>
      </c>
      <c r="C654" s="25">
        <f t="shared" si="599"/>
        <v>1.3928571428571428</v>
      </c>
      <c r="D654" s="25">
        <f t="shared" si="599"/>
        <v>0.64516129032258063</v>
      </c>
      <c r="E654" s="25">
        <f t="shared" si="599"/>
        <v>0.23333333333333334</v>
      </c>
      <c r="F654" s="25">
        <f t="shared" si="599"/>
        <v>3.2258064516129031E-2</v>
      </c>
      <c r="G654" s="25">
        <f t="shared" si="599"/>
        <v>0.4</v>
      </c>
      <c r="H654" s="25">
        <f t="shared" ref="H654:I654" si="600">IF(H653=0,"",H653/H$1870)</f>
        <v>0.19354838709677419</v>
      </c>
      <c r="I654" s="25">
        <f t="shared" si="600"/>
        <v>0.58064516129032262</v>
      </c>
      <c r="J654" s="25">
        <f t="shared" ref="J654:K654" si="601">IF(J653=0,"",J653/J$1870)</f>
        <v>2.1</v>
      </c>
      <c r="K654" s="25">
        <f t="shared" si="601"/>
        <v>4.193548387096774</v>
      </c>
      <c r="L654" s="25">
        <f t="shared" ref="L654:M654" si="602">IF(L653=0,"",L653/L$1870)</f>
        <v>3.3</v>
      </c>
      <c r="M654" s="25">
        <f t="shared" si="602"/>
        <v>3.838709677419355</v>
      </c>
      <c r="N654" s="144">
        <f>SUM(B654:M654)</f>
        <v>18.264900153609833</v>
      </c>
      <c r="O654" s="25">
        <f>IF(N654=0,0,AVERAGE(B654:M654))</f>
        <v>1.5220750128008194</v>
      </c>
    </row>
    <row r="655" spans="1:26" s="4" customFormat="1" ht="14.25"/>
    <row r="656" spans="1:26" s="4" customFormat="1" ht="15.75">
      <c r="A656" s="97" t="s">
        <v>728</v>
      </c>
      <c r="B656" s="92">
        <f t="shared" ref="B656:C656" si="603">B648</f>
        <v>127</v>
      </c>
      <c r="C656" s="92">
        <f t="shared" si="603"/>
        <v>140</v>
      </c>
      <c r="D656" s="92">
        <f t="shared" ref="D656:E656" si="604">D648</f>
        <v>102</v>
      </c>
      <c r="E656" s="92">
        <f t="shared" si="604"/>
        <v>56</v>
      </c>
      <c r="F656" s="92">
        <f t="shared" ref="F656:G656" si="605">F648</f>
        <v>44</v>
      </c>
      <c r="G656" s="92">
        <f t="shared" si="605"/>
        <v>98</v>
      </c>
      <c r="H656" s="92">
        <f t="shared" ref="H656:I656" si="606">H648</f>
        <v>139</v>
      </c>
      <c r="I656" s="92">
        <f t="shared" si="606"/>
        <v>150</v>
      </c>
      <c r="J656" s="92">
        <f t="shared" ref="J656:K656" si="607">J648</f>
        <v>83</v>
      </c>
      <c r="K656" s="92">
        <f t="shared" si="607"/>
        <v>141</v>
      </c>
      <c r="L656" s="92">
        <f t="shared" ref="L656:M656" si="608">L648</f>
        <v>133</v>
      </c>
      <c r="M656" s="92">
        <f t="shared" si="608"/>
        <v>171</v>
      </c>
      <c r="N656" s="150">
        <f>SUM(B656:M656)</f>
        <v>1384</v>
      </c>
      <c r="O656" s="22">
        <f>IF(N656=0,0,AVERAGE(B656:M656))</f>
        <v>115.33333333333333</v>
      </c>
    </row>
    <row r="657" spans="1:26" s="4" customFormat="1" ht="15.75">
      <c r="A657" s="97" t="s">
        <v>729</v>
      </c>
      <c r="B657" s="92">
        <f t="shared" ref="B657:C657" si="609">B653</f>
        <v>42</v>
      </c>
      <c r="C657" s="92">
        <f t="shared" si="609"/>
        <v>39</v>
      </c>
      <c r="D657" s="92">
        <f t="shared" ref="D657:E657" si="610">D653</f>
        <v>20</v>
      </c>
      <c r="E657" s="92">
        <f t="shared" si="610"/>
        <v>7</v>
      </c>
      <c r="F657" s="92">
        <f t="shared" ref="F657:G657" si="611">F653</f>
        <v>1</v>
      </c>
      <c r="G657" s="92">
        <f t="shared" si="611"/>
        <v>12</v>
      </c>
      <c r="H657" s="92">
        <f t="shared" ref="H657:I657" si="612">H653</f>
        <v>6</v>
      </c>
      <c r="I657" s="92">
        <f t="shared" si="612"/>
        <v>18</v>
      </c>
      <c r="J657" s="92">
        <f t="shared" ref="J657:K657" si="613">J653</f>
        <v>63</v>
      </c>
      <c r="K657" s="92">
        <f t="shared" si="613"/>
        <v>130</v>
      </c>
      <c r="L657" s="92">
        <f t="shared" ref="L657:M657" si="614">L653</f>
        <v>99</v>
      </c>
      <c r="M657" s="92">
        <f t="shared" si="614"/>
        <v>119</v>
      </c>
      <c r="N657" s="150">
        <f>SUM(B657:M657)</f>
        <v>556</v>
      </c>
      <c r="O657" s="22">
        <f>IF(N657=0,0,AVERAGE(B657:M657))</f>
        <v>46.333333333333336</v>
      </c>
    </row>
    <row r="658" spans="1:26" s="4" customFormat="1" ht="15.75">
      <c r="A658" s="267" t="s">
        <v>730</v>
      </c>
      <c r="B658" s="372">
        <f t="shared" ref="B658:C658" si="615">SUM(B656:B657)</f>
        <v>169</v>
      </c>
      <c r="C658" s="372">
        <f t="shared" si="615"/>
        <v>179</v>
      </c>
      <c r="D658" s="372">
        <f t="shared" ref="D658:E658" si="616">SUM(D656:D657)</f>
        <v>122</v>
      </c>
      <c r="E658" s="372">
        <f t="shared" si="616"/>
        <v>63</v>
      </c>
      <c r="F658" s="372">
        <f t="shared" ref="F658:G658" si="617">SUM(F656:F657)</f>
        <v>45</v>
      </c>
      <c r="G658" s="372">
        <f t="shared" si="617"/>
        <v>110</v>
      </c>
      <c r="H658" s="372">
        <f t="shared" ref="H658:I658" si="618">SUM(H656:H657)</f>
        <v>145</v>
      </c>
      <c r="I658" s="372">
        <f t="shared" si="618"/>
        <v>168</v>
      </c>
      <c r="J658" s="372">
        <f t="shared" ref="J658:K658" si="619">SUM(J656:J657)</f>
        <v>146</v>
      </c>
      <c r="K658" s="372">
        <f t="shared" si="619"/>
        <v>271</v>
      </c>
      <c r="L658" s="372">
        <f t="shared" ref="L658:M658" si="620">SUM(L656:L657)</f>
        <v>232</v>
      </c>
      <c r="M658" s="372">
        <f t="shared" si="620"/>
        <v>290</v>
      </c>
      <c r="N658" s="373">
        <f>SUM(N656:N657)</f>
        <v>1940</v>
      </c>
      <c r="O658" s="374">
        <f>SUM(O656:O657)</f>
        <v>161.66666666666666</v>
      </c>
    </row>
    <row r="659" spans="1:26" s="4" customFormat="1" ht="14.25"/>
    <row r="660" spans="1:26" s="9" customFormat="1" ht="15.75">
      <c r="A660" s="17" t="s">
        <v>755</v>
      </c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49"/>
      <c r="O660" s="19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s="9" customFormat="1" ht="15.75">
      <c r="A661" s="91" t="s">
        <v>139</v>
      </c>
      <c r="B661" s="92">
        <v>0</v>
      </c>
      <c r="C661" s="92">
        <v>0</v>
      </c>
      <c r="D661" s="92">
        <v>0</v>
      </c>
      <c r="E661" s="92">
        <v>0</v>
      </c>
      <c r="F661" s="92">
        <v>0</v>
      </c>
      <c r="G661" s="92">
        <v>0</v>
      </c>
      <c r="H661" s="92">
        <v>0</v>
      </c>
      <c r="I661" s="92">
        <v>0</v>
      </c>
      <c r="J661" s="93">
        <v>0</v>
      </c>
      <c r="K661" s="93">
        <v>0</v>
      </c>
      <c r="L661" s="92">
        <v>0</v>
      </c>
      <c r="M661" s="92">
        <v>0</v>
      </c>
      <c r="N661" s="150">
        <f t="shared" ref="N661:N669" si="621">SUM(B661:M661)</f>
        <v>0</v>
      </c>
      <c r="O661" s="22">
        <f t="shared" ref="O661:O669" si="622">IF(N661=0,0,AVERAGE(B661:M661))</f>
        <v>0</v>
      </c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s="9" customFormat="1" ht="15.75">
      <c r="A662" s="37" t="s">
        <v>140</v>
      </c>
      <c r="B662" s="21">
        <v>0</v>
      </c>
      <c r="C662" s="21">
        <v>0</v>
      </c>
      <c r="D662" s="21">
        <v>0</v>
      </c>
      <c r="E662" s="21">
        <v>0</v>
      </c>
      <c r="F662" s="21">
        <v>0</v>
      </c>
      <c r="G662" s="21">
        <v>0</v>
      </c>
      <c r="H662" s="21">
        <v>0</v>
      </c>
      <c r="I662" s="21">
        <v>0</v>
      </c>
      <c r="J662" s="87">
        <v>0</v>
      </c>
      <c r="K662" s="87">
        <v>0</v>
      </c>
      <c r="L662" s="21">
        <v>0</v>
      </c>
      <c r="M662" s="21">
        <v>0</v>
      </c>
      <c r="N662" s="150">
        <f t="shared" si="621"/>
        <v>0</v>
      </c>
      <c r="O662" s="22">
        <f t="shared" si="622"/>
        <v>0</v>
      </c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s="9" customFormat="1" ht="15.75">
      <c r="A663" s="37" t="s">
        <v>141</v>
      </c>
      <c r="B663" s="21">
        <v>0</v>
      </c>
      <c r="C663" s="21">
        <v>0</v>
      </c>
      <c r="D663" s="21">
        <v>0</v>
      </c>
      <c r="E663" s="21">
        <v>0</v>
      </c>
      <c r="F663" s="21">
        <v>0</v>
      </c>
      <c r="G663" s="21">
        <v>0</v>
      </c>
      <c r="H663" s="21">
        <v>0</v>
      </c>
      <c r="I663" s="21">
        <v>0</v>
      </c>
      <c r="J663" s="21">
        <v>0</v>
      </c>
      <c r="K663" s="21">
        <v>0</v>
      </c>
      <c r="L663" s="21">
        <v>0</v>
      </c>
      <c r="M663" s="21">
        <v>0</v>
      </c>
      <c r="N663" s="150">
        <f t="shared" si="621"/>
        <v>0</v>
      </c>
      <c r="O663" s="22">
        <f t="shared" si="622"/>
        <v>0</v>
      </c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s="9" customFormat="1" ht="15.75">
      <c r="A664" s="91" t="s">
        <v>142</v>
      </c>
      <c r="B664" s="92">
        <v>37</v>
      </c>
      <c r="C664" s="92">
        <v>49</v>
      </c>
      <c r="D664" s="92">
        <v>26</v>
      </c>
      <c r="E664" s="92">
        <v>9</v>
      </c>
      <c r="F664" s="92">
        <v>29</v>
      </c>
      <c r="G664" s="92">
        <v>21</v>
      </c>
      <c r="H664" s="92">
        <v>27</v>
      </c>
      <c r="I664" s="92">
        <v>25</v>
      </c>
      <c r="J664" s="92">
        <v>24</v>
      </c>
      <c r="K664" s="92">
        <v>20</v>
      </c>
      <c r="L664" s="92">
        <v>30</v>
      </c>
      <c r="M664" s="92">
        <v>29</v>
      </c>
      <c r="N664" s="150">
        <f t="shared" si="621"/>
        <v>326</v>
      </c>
      <c r="O664" s="22">
        <f t="shared" si="622"/>
        <v>27.166666666666668</v>
      </c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s="9" customFormat="1" ht="15.75">
      <c r="A665" s="37" t="s">
        <v>140</v>
      </c>
      <c r="B665" s="21">
        <v>933</v>
      </c>
      <c r="C665" s="21">
        <v>751</v>
      </c>
      <c r="D665" s="21">
        <v>571</v>
      </c>
      <c r="E665" s="21">
        <v>74</v>
      </c>
      <c r="F665" s="21">
        <v>246</v>
      </c>
      <c r="G665" s="21">
        <v>404</v>
      </c>
      <c r="H665" s="21">
        <v>304</v>
      </c>
      <c r="I665" s="21">
        <v>459</v>
      </c>
      <c r="J665" s="21">
        <v>1053</v>
      </c>
      <c r="K665" s="21">
        <v>269</v>
      </c>
      <c r="L665" s="21">
        <v>648</v>
      </c>
      <c r="M665" s="21">
        <v>507</v>
      </c>
      <c r="N665" s="150">
        <f t="shared" si="621"/>
        <v>6219</v>
      </c>
      <c r="O665" s="22">
        <f t="shared" si="622"/>
        <v>518.25</v>
      </c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s="9" customFormat="1" ht="15.75">
      <c r="A666" s="37" t="s">
        <v>141</v>
      </c>
      <c r="B666" s="323">
        <v>49.80555555555555</v>
      </c>
      <c r="C666" s="323">
        <v>31.420138888888889</v>
      </c>
      <c r="D666" s="323">
        <v>25.013888888888889</v>
      </c>
      <c r="E666" s="323">
        <v>4.6527777777777777</v>
      </c>
      <c r="F666" s="323">
        <v>9.3298611111111107</v>
      </c>
      <c r="G666" s="323">
        <v>23.048611111111111</v>
      </c>
      <c r="H666" s="323">
        <v>16.423611111111111</v>
      </c>
      <c r="I666" s="323">
        <v>27.274305555555557</v>
      </c>
      <c r="J666" s="323">
        <v>32.677083333333336</v>
      </c>
      <c r="K666" s="323">
        <v>10.78125</v>
      </c>
      <c r="L666" s="323">
        <v>30.083333333333332</v>
      </c>
      <c r="M666" s="323">
        <v>16.316666666666666</v>
      </c>
      <c r="N666" s="243">
        <f>SUM(B666:M666)</f>
        <v>276.82708333333335</v>
      </c>
      <c r="O666" s="243">
        <f t="shared" si="622"/>
        <v>23.068923611111114</v>
      </c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s="9" customFormat="1" ht="15.75">
      <c r="A667" s="91" t="s">
        <v>143</v>
      </c>
      <c r="B667" s="92">
        <v>1</v>
      </c>
      <c r="C667" s="92">
        <v>2</v>
      </c>
      <c r="D667" s="92">
        <v>1</v>
      </c>
      <c r="E667" s="92">
        <v>4</v>
      </c>
      <c r="F667" s="92">
        <v>3</v>
      </c>
      <c r="G667" s="92">
        <v>1</v>
      </c>
      <c r="H667" s="92">
        <v>7</v>
      </c>
      <c r="I667" s="92">
        <v>5</v>
      </c>
      <c r="J667" s="92">
        <v>0</v>
      </c>
      <c r="K667" s="92">
        <v>2</v>
      </c>
      <c r="L667" s="92">
        <v>7</v>
      </c>
      <c r="M667" s="92">
        <v>12</v>
      </c>
      <c r="N667" s="150">
        <f t="shared" si="621"/>
        <v>45</v>
      </c>
      <c r="O667" s="22">
        <f t="shared" si="622"/>
        <v>3.75</v>
      </c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s="9" customFormat="1" ht="15.75">
      <c r="A668" s="37" t="s">
        <v>140</v>
      </c>
      <c r="B668" s="21">
        <v>2</v>
      </c>
      <c r="C668" s="21">
        <v>3</v>
      </c>
      <c r="D668" s="21">
        <v>2</v>
      </c>
      <c r="E668" s="21">
        <v>4</v>
      </c>
      <c r="F668" s="21">
        <v>12</v>
      </c>
      <c r="G668" s="21">
        <v>1</v>
      </c>
      <c r="H668" s="21">
        <v>7</v>
      </c>
      <c r="I668" s="21">
        <v>6</v>
      </c>
      <c r="J668" s="21">
        <v>0</v>
      </c>
      <c r="K668" s="21">
        <v>2</v>
      </c>
      <c r="L668" s="21">
        <v>7</v>
      </c>
      <c r="M668" s="21">
        <v>12</v>
      </c>
      <c r="N668" s="150">
        <f t="shared" si="621"/>
        <v>58</v>
      </c>
      <c r="O668" s="22">
        <f t="shared" si="622"/>
        <v>4.833333333333333</v>
      </c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s="9" customFormat="1" ht="15.75">
      <c r="A669" s="37" t="s">
        <v>141</v>
      </c>
      <c r="B669" s="323">
        <v>0.66666666666666663</v>
      </c>
      <c r="C669" s="323">
        <v>0.89583333333333337</v>
      </c>
      <c r="D669" s="323">
        <v>1.6666666666666667</v>
      </c>
      <c r="E669" s="323">
        <v>0.91666666666666663</v>
      </c>
      <c r="F669" s="323">
        <v>2.1666666666666665</v>
      </c>
      <c r="G669" s="323">
        <v>3.3333333333333335</v>
      </c>
      <c r="H669" s="323">
        <v>6.541666666666667</v>
      </c>
      <c r="I669" s="323">
        <v>3.125</v>
      </c>
      <c r="J669" s="323">
        <v>0</v>
      </c>
      <c r="K669" s="323">
        <v>0.875</v>
      </c>
      <c r="L669" s="323">
        <v>1.9166666666666667</v>
      </c>
      <c r="M669" s="323">
        <v>17.416666666666668</v>
      </c>
      <c r="N669" s="243">
        <f t="shared" si="621"/>
        <v>39.520833333333336</v>
      </c>
      <c r="O669" s="243">
        <f t="shared" si="622"/>
        <v>3.2934027777777781</v>
      </c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s="217" customFormat="1" ht="15.75">
      <c r="A670" s="381" t="s">
        <v>329</v>
      </c>
      <c r="B670" s="389">
        <v>0.16712962962962963</v>
      </c>
      <c r="C670" s="389">
        <v>0.10700231481481481</v>
      </c>
      <c r="D670" s="389">
        <v>8.8344907407407414E-2</v>
      </c>
      <c r="E670" s="389">
        <v>1.8437499999999999E-2</v>
      </c>
      <c r="F670" s="389">
        <v>3.8067129629629631E-2</v>
      </c>
      <c r="G670" s="389">
        <v>8.7361111111111112E-2</v>
      </c>
      <c r="H670" s="389">
        <v>7.604166666666666E-2</v>
      </c>
      <c r="I670" s="389">
        <v>0.10201388888888889</v>
      </c>
      <c r="J670" s="389">
        <v>0.10965277777777778</v>
      </c>
      <c r="K670" s="389">
        <v>3.9120370370370368E-2</v>
      </c>
      <c r="L670" s="389">
        <v>0.10630787037037037</v>
      </c>
      <c r="M670" s="389">
        <v>0.11207175925925926</v>
      </c>
      <c r="N670" s="389">
        <f>SUM(B670:M670)</f>
        <v>1.0515509259259259</v>
      </c>
      <c r="O670" s="389">
        <f>IF(N670=0,0,AVERAGE(B670:M670))</f>
        <v>8.7629243827160488E-2</v>
      </c>
      <c r="P670" s="244"/>
      <c r="Q670" s="244"/>
      <c r="R670" s="244"/>
      <c r="S670" s="244"/>
      <c r="T670" s="244"/>
      <c r="U670" s="244"/>
      <c r="V670" s="244"/>
      <c r="W670" s="244"/>
      <c r="X670" s="244"/>
      <c r="Y670" s="244"/>
      <c r="Z670" s="244"/>
    </row>
    <row r="671" spans="1:26" s="9" customFormat="1">
      <c r="A671" s="33"/>
      <c r="B671" s="34"/>
      <c r="C671" s="34"/>
      <c r="D671" s="34"/>
      <c r="E671" s="35"/>
      <c r="F671" s="35"/>
      <c r="G671" s="35"/>
      <c r="H671" s="35"/>
      <c r="I671" s="35"/>
      <c r="J671" s="35"/>
      <c r="K671" s="35"/>
      <c r="L671" s="35"/>
      <c r="M671" s="312"/>
      <c r="N671" s="153"/>
      <c r="O671" s="16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s="9" customFormat="1" ht="15.75">
      <c r="A672" s="58" t="s">
        <v>412</v>
      </c>
      <c r="B672" s="59"/>
      <c r="C672" s="59"/>
      <c r="D672" s="59"/>
      <c r="E672" s="59"/>
      <c r="F672" s="59"/>
      <c r="G672" s="59"/>
      <c r="H672" s="59"/>
      <c r="I672" s="59"/>
      <c r="J672" s="59"/>
      <c r="K672" s="59"/>
      <c r="L672" s="59"/>
      <c r="M672" s="59"/>
      <c r="N672" s="159"/>
      <c r="O672" s="60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s="217" customFormat="1" ht="15.75">
      <c r="A673" s="245"/>
      <c r="B673" s="246"/>
      <c r="C673" s="246"/>
      <c r="D673" s="246"/>
      <c r="E673" s="247"/>
      <c r="F673" s="247"/>
      <c r="G673" s="247"/>
      <c r="H673" s="247"/>
      <c r="I673" s="247"/>
      <c r="J673" s="247"/>
      <c r="K673" s="247"/>
      <c r="L673" s="247"/>
      <c r="M673" s="247"/>
      <c r="N673" s="248"/>
      <c r="O673" s="249"/>
      <c r="P673" s="242"/>
      <c r="Q673" s="242"/>
      <c r="R673" s="242"/>
      <c r="S673" s="242"/>
      <c r="T673" s="242"/>
      <c r="U673" s="242"/>
      <c r="V673" s="242"/>
      <c r="W673" s="242"/>
      <c r="X673" s="242"/>
      <c r="Y673" s="242"/>
      <c r="Z673" s="242"/>
    </row>
    <row r="674" spans="1:26" s="9" customFormat="1" ht="15.75">
      <c r="A674" s="17" t="s">
        <v>674</v>
      </c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49"/>
      <c r="O674" s="19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s="9" customFormat="1" ht="15.75">
      <c r="A675" s="66" t="s">
        <v>347</v>
      </c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49"/>
      <c r="O675" s="19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s="9" customFormat="1" ht="15.75">
      <c r="A676" s="40" t="s">
        <v>18</v>
      </c>
      <c r="B676" s="21">
        <v>104</v>
      </c>
      <c r="C676" s="21">
        <v>59</v>
      </c>
      <c r="D676" s="21">
        <v>89</v>
      </c>
      <c r="E676" s="21">
        <v>57</v>
      </c>
      <c r="F676" s="21">
        <v>10</v>
      </c>
      <c r="G676" s="21">
        <v>8</v>
      </c>
      <c r="H676" s="21">
        <v>48</v>
      </c>
      <c r="I676" s="21">
        <v>51</v>
      </c>
      <c r="J676" s="87">
        <v>61</v>
      </c>
      <c r="K676" s="21">
        <v>87</v>
      </c>
      <c r="L676" s="21">
        <v>96</v>
      </c>
      <c r="M676" s="21">
        <v>163</v>
      </c>
      <c r="N676" s="150">
        <f>SUM(B676:M676)</f>
        <v>833</v>
      </c>
      <c r="O676" s="22">
        <f>IF(N676=0,0,AVERAGE(B676:M676))</f>
        <v>69.416666666666671</v>
      </c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s="9" customFormat="1" ht="15.75">
      <c r="A677" s="40" t="s">
        <v>19</v>
      </c>
      <c r="B677" s="21">
        <v>16</v>
      </c>
      <c r="C677" s="21">
        <v>11</v>
      </c>
      <c r="D677" s="21">
        <v>24</v>
      </c>
      <c r="E677" s="21">
        <v>4</v>
      </c>
      <c r="F677" s="21">
        <v>5</v>
      </c>
      <c r="G677" s="21">
        <v>11</v>
      </c>
      <c r="H677" s="21">
        <v>5</v>
      </c>
      <c r="I677" s="21">
        <v>18</v>
      </c>
      <c r="J677" s="87">
        <v>4</v>
      </c>
      <c r="K677" s="21">
        <v>25</v>
      </c>
      <c r="L677" s="21">
        <v>4</v>
      </c>
      <c r="M677" s="21">
        <v>3</v>
      </c>
      <c r="N677" s="150">
        <f>SUM(B677:M677)</f>
        <v>130</v>
      </c>
      <c r="O677" s="22">
        <f>IF(N677=0,0,AVERAGE(B677:M677))</f>
        <v>10.833333333333334</v>
      </c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s="9" customFormat="1" ht="15.75">
      <c r="A678" s="40" t="s">
        <v>20</v>
      </c>
      <c r="B678" s="21">
        <v>2</v>
      </c>
      <c r="C678" s="21">
        <v>1</v>
      </c>
      <c r="D678" s="21">
        <v>0</v>
      </c>
      <c r="E678" s="21">
        <v>11</v>
      </c>
      <c r="F678" s="21">
        <v>0</v>
      </c>
      <c r="G678" s="21">
        <v>12</v>
      </c>
      <c r="H678" s="21">
        <v>1</v>
      </c>
      <c r="I678" s="21">
        <v>2</v>
      </c>
      <c r="J678" s="21">
        <v>7</v>
      </c>
      <c r="K678" s="21">
        <v>2</v>
      </c>
      <c r="L678" s="21">
        <v>5</v>
      </c>
      <c r="M678" s="21">
        <v>1</v>
      </c>
      <c r="N678" s="150">
        <f>SUM(B678:M678)</f>
        <v>44</v>
      </c>
      <c r="O678" s="22">
        <f>IF(N678=0,0,AVERAGE(B678:M678))</f>
        <v>3.6666666666666665</v>
      </c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s="9" customFormat="1" ht="15.75">
      <c r="A679" s="62" t="s">
        <v>21</v>
      </c>
      <c r="B679" s="24">
        <f t="shared" ref="B679:G679" si="623">SUM(B676:B678)</f>
        <v>122</v>
      </c>
      <c r="C679" s="24">
        <f t="shared" si="623"/>
        <v>71</v>
      </c>
      <c r="D679" s="24">
        <f t="shared" si="623"/>
        <v>113</v>
      </c>
      <c r="E679" s="24">
        <f t="shared" si="623"/>
        <v>72</v>
      </c>
      <c r="F679" s="24">
        <f t="shared" si="623"/>
        <v>15</v>
      </c>
      <c r="G679" s="24">
        <f t="shared" si="623"/>
        <v>31</v>
      </c>
      <c r="H679" s="24">
        <f t="shared" ref="H679:I679" si="624">SUM(H676:H678)</f>
        <v>54</v>
      </c>
      <c r="I679" s="24">
        <f t="shared" si="624"/>
        <v>71</v>
      </c>
      <c r="J679" s="24">
        <f t="shared" ref="J679:K679" si="625">SUM(J676:J678)</f>
        <v>72</v>
      </c>
      <c r="K679" s="24">
        <f t="shared" si="625"/>
        <v>114</v>
      </c>
      <c r="L679" s="24">
        <f t="shared" ref="L679:M679" si="626">SUM(L676:L678)</f>
        <v>105</v>
      </c>
      <c r="M679" s="24">
        <f t="shared" si="626"/>
        <v>167</v>
      </c>
      <c r="N679" s="144">
        <f>SUM(N676:N677)</f>
        <v>963</v>
      </c>
      <c r="O679" s="25">
        <f>SUM(O676:O677)</f>
        <v>80.25</v>
      </c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s="9" customFormat="1" ht="15.75">
      <c r="A680" s="62" t="s">
        <v>112</v>
      </c>
      <c r="B680" s="25">
        <f t="shared" ref="B680:F680" si="627">IF(B679=0,"",B679/B$1870)</f>
        <v>3.935483870967742</v>
      </c>
      <c r="C680" s="25">
        <f t="shared" si="627"/>
        <v>2.5357142857142856</v>
      </c>
      <c r="D680" s="25">
        <f t="shared" si="627"/>
        <v>3.6451612903225805</v>
      </c>
      <c r="E680" s="25">
        <f t="shared" si="627"/>
        <v>2.4</v>
      </c>
      <c r="F680" s="25">
        <f t="shared" si="627"/>
        <v>0.4838709677419355</v>
      </c>
      <c r="G680" s="25">
        <f t="shared" ref="G680:H680" si="628">IF(G679=0,"",G679/G$1870)</f>
        <v>1.0333333333333334</v>
      </c>
      <c r="H680" s="25">
        <f t="shared" si="628"/>
        <v>1.7419354838709677</v>
      </c>
      <c r="I680" s="25">
        <f t="shared" ref="I680:K680" si="629">IF(I679=0,"",I679/I$1870)</f>
        <v>2.2903225806451615</v>
      </c>
      <c r="J680" s="25">
        <f t="shared" si="629"/>
        <v>2.4</v>
      </c>
      <c r="K680" s="25">
        <f t="shared" si="629"/>
        <v>3.6774193548387095</v>
      </c>
      <c r="L680" s="25">
        <f t="shared" ref="L680:M680" si="630">IF(L679=0,"",L679/L$1870)</f>
        <v>3.5</v>
      </c>
      <c r="M680" s="25">
        <f t="shared" si="630"/>
        <v>5.387096774193548</v>
      </c>
      <c r="N680" s="144">
        <f>SUM(B680:M680)</f>
        <v>33.030337941628261</v>
      </c>
      <c r="O680" s="25">
        <f>IF(N680=0,0,AVERAGE(B680:M680))</f>
        <v>2.7525281618023549</v>
      </c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s="9" customFormat="1" ht="15.75">
      <c r="A681" s="94"/>
      <c r="B681" s="95"/>
      <c r="C681" s="95"/>
      <c r="D681" s="95"/>
      <c r="E681" s="95"/>
      <c r="F681" s="95"/>
      <c r="G681" s="96"/>
      <c r="H681" s="96"/>
      <c r="I681" s="96"/>
      <c r="J681" s="96"/>
      <c r="K681" s="96"/>
      <c r="L681" s="96"/>
      <c r="M681" s="96"/>
      <c r="N681" s="168"/>
      <c r="O681" s="16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s="9" customFormat="1" ht="15.75">
      <c r="A682" s="66" t="s">
        <v>342</v>
      </c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49"/>
      <c r="O682" s="19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s="9" customFormat="1" ht="15.75">
      <c r="A683" s="37" t="s">
        <v>114</v>
      </c>
      <c r="B683" s="21">
        <v>118</v>
      </c>
      <c r="C683" s="21">
        <v>130</v>
      </c>
      <c r="D683" s="21">
        <v>150</v>
      </c>
      <c r="E683" s="21">
        <v>114</v>
      </c>
      <c r="F683" s="21">
        <v>16</v>
      </c>
      <c r="G683" s="21">
        <v>55</v>
      </c>
      <c r="H683" s="21">
        <v>72</v>
      </c>
      <c r="I683" s="21">
        <v>85</v>
      </c>
      <c r="J683" s="21">
        <v>124</v>
      </c>
      <c r="K683" s="21">
        <v>144</v>
      </c>
      <c r="L683" s="21">
        <v>98</v>
      </c>
      <c r="M683" s="21">
        <v>118</v>
      </c>
      <c r="N683" s="150">
        <f>SUM(B683:M683)</f>
        <v>1224</v>
      </c>
      <c r="O683" s="22">
        <f>IF(N683=0,0,AVERAGE(B683:M683))</f>
        <v>102</v>
      </c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s="9" customFormat="1" ht="15.75">
      <c r="A684" s="62" t="s">
        <v>21</v>
      </c>
      <c r="B684" s="24">
        <f t="shared" ref="B684:C684" si="631">SUM(B683)</f>
        <v>118</v>
      </c>
      <c r="C684" s="24">
        <f t="shared" si="631"/>
        <v>130</v>
      </c>
      <c r="D684" s="24">
        <f t="shared" ref="D684:E684" si="632">SUM(D683)</f>
        <v>150</v>
      </c>
      <c r="E684" s="24">
        <f t="shared" si="632"/>
        <v>114</v>
      </c>
      <c r="F684" s="24">
        <f t="shared" ref="F684:G684" si="633">SUM(F683)</f>
        <v>16</v>
      </c>
      <c r="G684" s="24">
        <f t="shared" si="633"/>
        <v>55</v>
      </c>
      <c r="H684" s="24">
        <f t="shared" ref="H684:I684" si="634">SUM(H683)</f>
        <v>72</v>
      </c>
      <c r="I684" s="24">
        <f t="shared" si="634"/>
        <v>85</v>
      </c>
      <c r="J684" s="24">
        <f t="shared" ref="J684:K684" si="635">SUM(J683)</f>
        <v>124</v>
      </c>
      <c r="K684" s="24">
        <f t="shared" si="635"/>
        <v>144</v>
      </c>
      <c r="L684" s="24">
        <f t="shared" ref="L684:M684" si="636">SUM(L683)</f>
        <v>98</v>
      </c>
      <c r="M684" s="24">
        <f t="shared" si="636"/>
        <v>118</v>
      </c>
      <c r="N684" s="144">
        <f>SUM(N683)</f>
        <v>1224</v>
      </c>
      <c r="O684" s="25">
        <f>SUM(O683)</f>
        <v>102</v>
      </c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s="9" customFormat="1" ht="15.75">
      <c r="A685" s="62" t="s">
        <v>112</v>
      </c>
      <c r="B685" s="25">
        <f t="shared" ref="B685:G685" si="637">IF(B684=0,"",B684/B$1870)</f>
        <v>3.806451612903226</v>
      </c>
      <c r="C685" s="25">
        <f t="shared" si="637"/>
        <v>4.6428571428571432</v>
      </c>
      <c r="D685" s="25">
        <f t="shared" si="637"/>
        <v>4.838709677419355</v>
      </c>
      <c r="E685" s="25">
        <f t="shared" si="637"/>
        <v>3.8</v>
      </c>
      <c r="F685" s="25">
        <f t="shared" si="637"/>
        <v>0.5161290322580645</v>
      </c>
      <c r="G685" s="25">
        <f t="shared" si="637"/>
        <v>1.8333333333333333</v>
      </c>
      <c r="H685" s="25">
        <f t="shared" ref="H685:I685" si="638">IF(H684=0,"",H684/H$1870)</f>
        <v>2.3225806451612905</v>
      </c>
      <c r="I685" s="25">
        <f t="shared" si="638"/>
        <v>2.7419354838709675</v>
      </c>
      <c r="J685" s="25">
        <f t="shared" ref="J685:K685" si="639">IF(J684=0,"",J684/J$1870)</f>
        <v>4.1333333333333337</v>
      </c>
      <c r="K685" s="25">
        <f t="shared" si="639"/>
        <v>4.645161290322581</v>
      </c>
      <c r="L685" s="25">
        <f t="shared" ref="L685:M685" si="640">IF(L684=0,"",L684/L$1870)</f>
        <v>3.2666666666666666</v>
      </c>
      <c r="M685" s="25">
        <f t="shared" si="640"/>
        <v>3.806451612903226</v>
      </c>
      <c r="N685" s="144">
        <f>SUM(B685:M685)</f>
        <v>40.353609831029189</v>
      </c>
      <c r="O685" s="25">
        <f>IF(N685=0,0,AVERAGE(B685:M685))</f>
        <v>3.3628008192524326</v>
      </c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s="9" customFormat="1" ht="15.75">
      <c r="A686" s="94"/>
      <c r="B686" s="95"/>
      <c r="C686" s="95"/>
      <c r="D686" s="95"/>
      <c r="E686" s="95"/>
      <c r="F686" s="95"/>
      <c r="G686" s="96"/>
      <c r="H686" s="96"/>
      <c r="I686" s="96"/>
      <c r="J686" s="96"/>
      <c r="K686" s="96"/>
      <c r="L686" s="96"/>
      <c r="M686" s="96"/>
      <c r="N686" s="168"/>
      <c r="O686" s="16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s="9" customFormat="1" ht="15.75">
      <c r="A687" s="97" t="s">
        <v>153</v>
      </c>
      <c r="B687" s="92">
        <f t="shared" ref="B687:C687" si="641">B679</f>
        <v>122</v>
      </c>
      <c r="C687" s="92">
        <f t="shared" si="641"/>
        <v>71</v>
      </c>
      <c r="D687" s="92">
        <f t="shared" ref="D687:E687" si="642">D679</f>
        <v>113</v>
      </c>
      <c r="E687" s="92">
        <f t="shared" si="642"/>
        <v>72</v>
      </c>
      <c r="F687" s="92">
        <f t="shared" ref="F687:G687" si="643">F679</f>
        <v>15</v>
      </c>
      <c r="G687" s="92">
        <f t="shared" si="643"/>
        <v>31</v>
      </c>
      <c r="H687" s="92">
        <f t="shared" ref="H687:I687" si="644">H679</f>
        <v>54</v>
      </c>
      <c r="I687" s="92">
        <f t="shared" si="644"/>
        <v>71</v>
      </c>
      <c r="J687" s="92">
        <f t="shared" ref="J687:K687" si="645">J679</f>
        <v>72</v>
      </c>
      <c r="K687" s="92">
        <f t="shared" si="645"/>
        <v>114</v>
      </c>
      <c r="L687" s="92">
        <f t="shared" ref="L687:M687" si="646">L679</f>
        <v>105</v>
      </c>
      <c r="M687" s="92">
        <f t="shared" si="646"/>
        <v>167</v>
      </c>
      <c r="N687" s="150">
        <f>SUM(B687:M687)</f>
        <v>1007</v>
      </c>
      <c r="O687" s="22">
        <f>IF(N687=0,0,AVERAGE(B687:M687))</f>
        <v>83.916666666666671</v>
      </c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s="9" customFormat="1" ht="15.75">
      <c r="A688" s="97" t="s">
        <v>154</v>
      </c>
      <c r="B688" s="92">
        <f t="shared" ref="B688:C688" si="647">B684</f>
        <v>118</v>
      </c>
      <c r="C688" s="92">
        <f t="shared" si="647"/>
        <v>130</v>
      </c>
      <c r="D688" s="92">
        <f t="shared" ref="D688:E688" si="648">D684</f>
        <v>150</v>
      </c>
      <c r="E688" s="92">
        <f t="shared" si="648"/>
        <v>114</v>
      </c>
      <c r="F688" s="92">
        <f t="shared" ref="F688:G688" si="649">F684</f>
        <v>16</v>
      </c>
      <c r="G688" s="92">
        <f t="shared" si="649"/>
        <v>55</v>
      </c>
      <c r="H688" s="92">
        <f t="shared" ref="H688:I688" si="650">H684</f>
        <v>72</v>
      </c>
      <c r="I688" s="92">
        <f t="shared" si="650"/>
        <v>85</v>
      </c>
      <c r="J688" s="92">
        <f t="shared" ref="J688:K688" si="651">J684</f>
        <v>124</v>
      </c>
      <c r="K688" s="92">
        <f t="shared" si="651"/>
        <v>144</v>
      </c>
      <c r="L688" s="92">
        <f t="shared" ref="L688:M688" si="652">L684</f>
        <v>98</v>
      </c>
      <c r="M688" s="92">
        <f t="shared" si="652"/>
        <v>118</v>
      </c>
      <c r="N688" s="150">
        <f>SUM(B688:M688)</f>
        <v>1224</v>
      </c>
      <c r="O688" s="22">
        <f>IF(N688=0,0,AVERAGE(B688:M688))</f>
        <v>102</v>
      </c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s="9" customFormat="1" ht="15.75">
      <c r="A689" s="381" t="s">
        <v>155</v>
      </c>
      <c r="B689" s="372">
        <f t="shared" ref="B689:C689" si="653">SUM(B687:B688)</f>
        <v>240</v>
      </c>
      <c r="C689" s="372">
        <f t="shared" si="653"/>
        <v>201</v>
      </c>
      <c r="D689" s="372">
        <f t="shared" ref="D689:E689" si="654">SUM(D687:D688)</f>
        <v>263</v>
      </c>
      <c r="E689" s="372">
        <f t="shared" si="654"/>
        <v>186</v>
      </c>
      <c r="F689" s="372">
        <f t="shared" ref="F689:G689" si="655">SUM(F687:F688)</f>
        <v>31</v>
      </c>
      <c r="G689" s="372">
        <f t="shared" si="655"/>
        <v>86</v>
      </c>
      <c r="H689" s="372">
        <f t="shared" ref="H689:I689" si="656">SUM(H687:H688)</f>
        <v>126</v>
      </c>
      <c r="I689" s="372">
        <f t="shared" si="656"/>
        <v>156</v>
      </c>
      <c r="J689" s="372">
        <f t="shared" ref="J689:K689" si="657">SUM(J687:J688)</f>
        <v>196</v>
      </c>
      <c r="K689" s="372">
        <f t="shared" si="657"/>
        <v>258</v>
      </c>
      <c r="L689" s="372">
        <f t="shared" ref="L689:M689" si="658">SUM(L687:L688)</f>
        <v>203</v>
      </c>
      <c r="M689" s="372">
        <f t="shared" si="658"/>
        <v>285</v>
      </c>
      <c r="N689" s="373">
        <f>SUM(N687:N688)</f>
        <v>2231</v>
      </c>
      <c r="O689" s="374">
        <f>SUM(O687:O688)</f>
        <v>185.91666666666669</v>
      </c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s="9" customFormat="1" ht="15.75">
      <c r="A690" s="202"/>
      <c r="B690" s="310"/>
      <c r="C690" s="310"/>
      <c r="D690" s="310"/>
      <c r="E690" s="310"/>
      <c r="F690" s="310"/>
      <c r="G690" s="310"/>
      <c r="H690" s="310"/>
      <c r="I690" s="310"/>
      <c r="J690" s="310"/>
      <c r="K690" s="310"/>
      <c r="L690" s="310"/>
      <c r="M690" s="310"/>
      <c r="N690" s="311"/>
      <c r="O690" s="139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s="9" customFormat="1" ht="15.75">
      <c r="A691" s="391" t="s">
        <v>756</v>
      </c>
      <c r="B691" s="392"/>
      <c r="C691" s="392"/>
      <c r="D691" s="392"/>
      <c r="E691" s="392"/>
      <c r="F691" s="392"/>
      <c r="G691" s="392"/>
      <c r="H691" s="392"/>
      <c r="I691" s="392"/>
      <c r="J691" s="392"/>
      <c r="K691" s="392"/>
      <c r="L691" s="392"/>
      <c r="M691" s="392"/>
      <c r="N691" s="393"/>
      <c r="O691" s="394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s="9" customFormat="1" ht="15.75">
      <c r="A692" s="395" t="s">
        <v>341</v>
      </c>
      <c r="B692" s="392"/>
      <c r="C692" s="392"/>
      <c r="D692" s="392"/>
      <c r="E692" s="392"/>
      <c r="F692" s="392"/>
      <c r="G692" s="392"/>
      <c r="H692" s="392"/>
      <c r="I692" s="392"/>
      <c r="J692" s="392"/>
      <c r="K692" s="392"/>
      <c r="L692" s="392"/>
      <c r="M692" s="392"/>
      <c r="N692" s="393"/>
      <c r="O692" s="394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s="9" customFormat="1" ht="15.75">
      <c r="A693" s="365" t="s">
        <v>119</v>
      </c>
      <c r="B693" s="21">
        <v>0</v>
      </c>
      <c r="C693" s="21">
        <v>0</v>
      </c>
      <c r="D693" s="21">
        <v>0</v>
      </c>
      <c r="E693" s="21">
        <v>0</v>
      </c>
      <c r="F693" s="21">
        <v>0</v>
      </c>
      <c r="G693" s="21">
        <v>0</v>
      </c>
      <c r="H693" s="21">
        <v>0</v>
      </c>
      <c r="I693" s="21">
        <v>0</v>
      </c>
      <c r="J693" s="21">
        <v>0</v>
      </c>
      <c r="K693" s="21">
        <v>0</v>
      </c>
      <c r="L693" s="21">
        <v>0</v>
      </c>
      <c r="M693" s="21">
        <v>0</v>
      </c>
      <c r="N693" s="150">
        <f>SUM(B693:M693)</f>
        <v>0</v>
      </c>
      <c r="O693" s="22">
        <f>IF(N693=0,0,AVERAGE(B693:M693))</f>
        <v>0</v>
      </c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s="9" customFormat="1" ht="15.75">
      <c r="A694" s="365" t="s">
        <v>18</v>
      </c>
      <c r="B694" s="21">
        <v>0</v>
      </c>
      <c r="C694" s="21">
        <v>0</v>
      </c>
      <c r="D694" s="21">
        <v>0</v>
      </c>
      <c r="E694" s="21">
        <v>0</v>
      </c>
      <c r="F694" s="21">
        <v>0</v>
      </c>
      <c r="G694" s="21">
        <v>0</v>
      </c>
      <c r="H694" s="21">
        <v>0</v>
      </c>
      <c r="I694" s="21">
        <v>0</v>
      </c>
      <c r="J694" s="21">
        <v>0</v>
      </c>
      <c r="K694" s="21">
        <v>0</v>
      </c>
      <c r="L694" s="21">
        <v>0</v>
      </c>
      <c r="M694" s="21">
        <v>0</v>
      </c>
      <c r="N694" s="150">
        <f>SUM(B694:M694)</f>
        <v>0</v>
      </c>
      <c r="O694" s="22">
        <f>IF(N694=0,0,AVERAGE(B694:M694))</f>
        <v>0</v>
      </c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s="9" customFormat="1" ht="15.75">
      <c r="A695" s="365" t="s">
        <v>19</v>
      </c>
      <c r="B695" s="21">
        <v>0</v>
      </c>
      <c r="C695" s="21">
        <v>0</v>
      </c>
      <c r="D695" s="21">
        <v>0</v>
      </c>
      <c r="E695" s="21">
        <v>0</v>
      </c>
      <c r="F695" s="21">
        <v>0</v>
      </c>
      <c r="G695" s="21">
        <v>0</v>
      </c>
      <c r="H695" s="21">
        <v>0</v>
      </c>
      <c r="I695" s="21">
        <v>0</v>
      </c>
      <c r="J695" s="21">
        <v>0</v>
      </c>
      <c r="K695" s="21">
        <v>0</v>
      </c>
      <c r="L695" s="21">
        <v>0</v>
      </c>
      <c r="M695" s="21">
        <v>0</v>
      </c>
      <c r="N695" s="150">
        <f>SUM(B695:M695)</f>
        <v>0</v>
      </c>
      <c r="O695" s="22">
        <f>IF(N695=0,0,AVERAGE(B695:M695))</f>
        <v>0</v>
      </c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s="9" customFormat="1" ht="15.75">
      <c r="A696" s="365" t="s">
        <v>20</v>
      </c>
      <c r="B696" s="21">
        <v>0</v>
      </c>
      <c r="C696" s="21">
        <v>0</v>
      </c>
      <c r="D696" s="21">
        <v>0</v>
      </c>
      <c r="E696" s="21">
        <v>0</v>
      </c>
      <c r="F696" s="21">
        <v>0</v>
      </c>
      <c r="G696" s="21">
        <v>0</v>
      </c>
      <c r="H696" s="21">
        <v>0</v>
      </c>
      <c r="I696" s="21">
        <v>0</v>
      </c>
      <c r="J696" s="21">
        <v>0</v>
      </c>
      <c r="K696" s="21">
        <v>0</v>
      </c>
      <c r="L696" s="21">
        <v>0</v>
      </c>
      <c r="M696" s="21">
        <v>0</v>
      </c>
      <c r="N696" s="150">
        <f>SUM(B696:M696)</f>
        <v>0</v>
      </c>
      <c r="O696" s="22">
        <f>IF(N696=0,0,AVERAGE(B696:M696))</f>
        <v>0</v>
      </c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s="9" customFormat="1" ht="15.75">
      <c r="A697" s="381" t="s">
        <v>21</v>
      </c>
      <c r="B697" s="372">
        <f t="shared" ref="B697:C697" si="659">SUM(B693:B696)</f>
        <v>0</v>
      </c>
      <c r="C697" s="372">
        <f t="shared" si="659"/>
        <v>0</v>
      </c>
      <c r="D697" s="372">
        <f t="shared" ref="D697:E697" si="660">SUM(D693:D696)</f>
        <v>0</v>
      </c>
      <c r="E697" s="372">
        <f t="shared" si="660"/>
        <v>0</v>
      </c>
      <c r="F697" s="372">
        <f t="shared" ref="F697:G697" si="661">SUM(F693:F696)</f>
        <v>0</v>
      </c>
      <c r="G697" s="372">
        <f t="shared" si="661"/>
        <v>0</v>
      </c>
      <c r="H697" s="372">
        <f t="shared" ref="H697:I697" si="662">SUM(H693:H696)</f>
        <v>0</v>
      </c>
      <c r="I697" s="372">
        <f t="shared" si="662"/>
        <v>0</v>
      </c>
      <c r="J697" s="372">
        <f t="shared" ref="J697:K697" si="663">SUM(J693:J696)</f>
        <v>0</v>
      </c>
      <c r="K697" s="372">
        <f t="shared" si="663"/>
        <v>0</v>
      </c>
      <c r="L697" s="372">
        <f t="shared" ref="L697:M697" si="664">SUM(L693:L696)</f>
        <v>0</v>
      </c>
      <c r="M697" s="372">
        <f t="shared" si="664"/>
        <v>0</v>
      </c>
      <c r="N697" s="373">
        <f>SUM(N693:N695)</f>
        <v>0</v>
      </c>
      <c r="O697" s="374">
        <f>SUM(O693:O695)</f>
        <v>0</v>
      </c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s="9" customFormat="1" ht="15.75">
      <c r="A698" s="381" t="s">
        <v>112</v>
      </c>
      <c r="B698" s="372" t="s">
        <v>44</v>
      </c>
      <c r="C698" s="372" t="s">
        <v>44</v>
      </c>
      <c r="D698" s="372" t="s">
        <v>44</v>
      </c>
      <c r="E698" s="372" t="s">
        <v>44</v>
      </c>
      <c r="F698" s="372" t="s">
        <v>44</v>
      </c>
      <c r="G698" s="372" t="s">
        <v>44</v>
      </c>
      <c r="H698" s="372" t="s">
        <v>44</v>
      </c>
      <c r="I698" s="372" t="s">
        <v>44</v>
      </c>
      <c r="J698" s="372" t="s">
        <v>44</v>
      </c>
      <c r="K698" s="372" t="s">
        <v>44</v>
      </c>
      <c r="L698" s="372" t="s">
        <v>44</v>
      </c>
      <c r="M698" s="372" t="s">
        <v>44</v>
      </c>
      <c r="N698" s="373">
        <f>SUM(B698:M698)</f>
        <v>0</v>
      </c>
      <c r="O698" s="374">
        <f>IF(N698=0,0,AVERAGE(B698:M698))</f>
        <v>0</v>
      </c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s="9" customFormat="1" ht="15.75">
      <c r="A699" s="366"/>
      <c r="B699" s="367"/>
      <c r="C699" s="367"/>
      <c r="D699" s="367"/>
      <c r="E699" s="367"/>
      <c r="F699" s="367"/>
      <c r="G699" s="367"/>
      <c r="H699" s="367"/>
      <c r="I699" s="367"/>
      <c r="J699" s="368"/>
      <c r="K699" s="368"/>
      <c r="L699" s="368"/>
      <c r="M699" s="367"/>
      <c r="N699" s="369"/>
      <c r="O699" s="43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s="9" customFormat="1" ht="15.75">
      <c r="A700" s="364" t="s">
        <v>348</v>
      </c>
      <c r="B700" s="351"/>
      <c r="C700" s="351"/>
      <c r="D700" s="351"/>
      <c r="E700" s="351"/>
      <c r="F700" s="351"/>
      <c r="G700" s="351"/>
      <c r="H700" s="351"/>
      <c r="I700" s="351"/>
      <c r="J700" s="351"/>
      <c r="K700" s="351"/>
      <c r="L700" s="351"/>
      <c r="M700" s="351"/>
      <c r="N700" s="352"/>
      <c r="O700" s="353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s="9" customFormat="1" ht="15.75">
      <c r="A701" s="113" t="s">
        <v>114</v>
      </c>
      <c r="B701" s="21">
        <v>1</v>
      </c>
      <c r="C701" s="21">
        <v>0</v>
      </c>
      <c r="D701" s="21">
        <v>0</v>
      </c>
      <c r="E701" s="21">
        <v>0</v>
      </c>
      <c r="F701" s="21">
        <v>0</v>
      </c>
      <c r="G701" s="21">
        <v>0</v>
      </c>
      <c r="H701" s="21">
        <v>1</v>
      </c>
      <c r="I701" s="21">
        <v>0</v>
      </c>
      <c r="J701" s="21">
        <v>1</v>
      </c>
      <c r="K701" s="21">
        <v>1</v>
      </c>
      <c r="L701" s="21">
        <v>1</v>
      </c>
      <c r="M701" s="21">
        <v>1</v>
      </c>
      <c r="N701" s="150">
        <f>SUM(B701:M701)</f>
        <v>6</v>
      </c>
      <c r="O701" s="22">
        <f>IF(N701=0,0,AVERAGE(B701:M701))</f>
        <v>0.5</v>
      </c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s="9" customFormat="1" ht="15.75">
      <c r="A702" s="381" t="s">
        <v>21</v>
      </c>
      <c r="B702" s="372">
        <f t="shared" ref="B702:C702" si="665">SUM(B701)</f>
        <v>1</v>
      </c>
      <c r="C702" s="372">
        <f t="shared" si="665"/>
        <v>0</v>
      </c>
      <c r="D702" s="372">
        <f t="shared" ref="D702:E702" si="666">SUM(D701)</f>
        <v>0</v>
      </c>
      <c r="E702" s="372">
        <f t="shared" si="666"/>
        <v>0</v>
      </c>
      <c r="F702" s="372">
        <f t="shared" ref="F702:G702" si="667">SUM(F701)</f>
        <v>0</v>
      </c>
      <c r="G702" s="372">
        <f t="shared" si="667"/>
        <v>0</v>
      </c>
      <c r="H702" s="372">
        <f t="shared" ref="H702:I702" si="668">SUM(H701)</f>
        <v>1</v>
      </c>
      <c r="I702" s="372">
        <f t="shared" si="668"/>
        <v>0</v>
      </c>
      <c r="J702" s="372">
        <f t="shared" ref="J702:K702" si="669">SUM(J701)</f>
        <v>1</v>
      </c>
      <c r="K702" s="372">
        <f t="shared" si="669"/>
        <v>1</v>
      </c>
      <c r="L702" s="372">
        <f t="shared" ref="L702:M702" si="670">SUM(L701)</f>
        <v>1</v>
      </c>
      <c r="M702" s="372">
        <f t="shared" si="670"/>
        <v>1</v>
      </c>
      <c r="N702" s="373">
        <f>SUM(N701)</f>
        <v>6</v>
      </c>
      <c r="O702" s="374">
        <f>SUM(O701)</f>
        <v>0.5</v>
      </c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s="9" customFormat="1" ht="15.75">
      <c r="A703" s="381" t="s">
        <v>112</v>
      </c>
      <c r="B703" s="374">
        <f t="shared" ref="B703" si="671">IF(B702=0,"",B702/B$1870)</f>
        <v>3.2258064516129031E-2</v>
      </c>
      <c r="C703" s="372" t="s">
        <v>44</v>
      </c>
      <c r="D703" s="372" t="s">
        <v>44</v>
      </c>
      <c r="E703" s="372" t="s">
        <v>44</v>
      </c>
      <c r="F703" s="372" t="s">
        <v>44</v>
      </c>
      <c r="G703" s="372" t="s">
        <v>44</v>
      </c>
      <c r="H703" s="458" t="s">
        <v>44</v>
      </c>
      <c r="I703" s="458" t="s">
        <v>44</v>
      </c>
      <c r="J703" s="374">
        <f t="shared" ref="J703:K703" si="672">IF(J702=0,"",J702/J$1870)</f>
        <v>3.3333333333333333E-2</v>
      </c>
      <c r="K703" s="374">
        <f t="shared" si="672"/>
        <v>3.2258064516129031E-2</v>
      </c>
      <c r="L703" s="374">
        <f t="shared" ref="L703" si="673">IF(L702=0,"",L702/L$1870)</f>
        <v>3.3333333333333333E-2</v>
      </c>
      <c r="M703" s="458" t="s">
        <v>44</v>
      </c>
      <c r="N703" s="373">
        <f>SUM(B703:M703)</f>
        <v>0.13118279569892471</v>
      </c>
      <c r="O703" s="374">
        <f>IF(N703=0,0,AVERAGE(B703:M703))</f>
        <v>3.2795698924731179E-2</v>
      </c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s="9" customFormat="1" ht="15.75">
      <c r="A704" s="366"/>
      <c r="B704" s="367"/>
      <c r="C704" s="367"/>
      <c r="D704" s="367"/>
      <c r="E704" s="367"/>
      <c r="F704" s="367"/>
      <c r="G704" s="367"/>
      <c r="H704" s="367"/>
      <c r="I704" s="368"/>
      <c r="J704" s="368"/>
      <c r="K704" s="368"/>
      <c r="L704" s="368"/>
      <c r="M704" s="368"/>
      <c r="N704" s="369"/>
      <c r="O704" s="43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s="9" customFormat="1" ht="15.75">
      <c r="A705" s="370" t="s">
        <v>153</v>
      </c>
      <c r="B705" s="92">
        <f t="shared" ref="B705:C705" si="674">B697</f>
        <v>0</v>
      </c>
      <c r="C705" s="92">
        <f t="shared" si="674"/>
        <v>0</v>
      </c>
      <c r="D705" s="92">
        <f t="shared" ref="D705:E705" si="675">D697</f>
        <v>0</v>
      </c>
      <c r="E705" s="92">
        <f t="shared" si="675"/>
        <v>0</v>
      </c>
      <c r="F705" s="92">
        <f t="shared" ref="F705:G705" si="676">F697</f>
        <v>0</v>
      </c>
      <c r="G705" s="92">
        <f t="shared" si="676"/>
        <v>0</v>
      </c>
      <c r="H705" s="92">
        <f t="shared" ref="H705:I705" si="677">H697</f>
        <v>0</v>
      </c>
      <c r="I705" s="92">
        <f t="shared" si="677"/>
        <v>0</v>
      </c>
      <c r="J705" s="92">
        <f t="shared" ref="J705:K705" si="678">J697</f>
        <v>0</v>
      </c>
      <c r="K705" s="92">
        <f t="shared" si="678"/>
        <v>0</v>
      </c>
      <c r="L705" s="92">
        <f t="shared" ref="L705:M705" si="679">L697</f>
        <v>0</v>
      </c>
      <c r="M705" s="92">
        <f t="shared" si="679"/>
        <v>0</v>
      </c>
      <c r="N705" s="150">
        <f>SUM(B705:M705)</f>
        <v>0</v>
      </c>
      <c r="O705" s="22">
        <f>IF(N705=0,0,AVERAGE(B705:M705))</f>
        <v>0</v>
      </c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s="9" customFormat="1" ht="15.75">
      <c r="A706" s="370" t="s">
        <v>154</v>
      </c>
      <c r="B706" s="92">
        <f t="shared" ref="B706:C706" si="680">B702</f>
        <v>1</v>
      </c>
      <c r="C706" s="92">
        <f t="shared" si="680"/>
        <v>0</v>
      </c>
      <c r="D706" s="92">
        <f t="shared" ref="D706:E706" si="681">D702</f>
        <v>0</v>
      </c>
      <c r="E706" s="92">
        <f t="shared" si="681"/>
        <v>0</v>
      </c>
      <c r="F706" s="92">
        <f t="shared" ref="F706:G706" si="682">F702</f>
        <v>0</v>
      </c>
      <c r="G706" s="92">
        <f t="shared" si="682"/>
        <v>0</v>
      </c>
      <c r="H706" s="92">
        <f t="shared" ref="H706:I706" si="683">H702</f>
        <v>1</v>
      </c>
      <c r="I706" s="92">
        <f t="shared" si="683"/>
        <v>0</v>
      </c>
      <c r="J706" s="92">
        <f t="shared" ref="J706:K706" si="684">J702</f>
        <v>1</v>
      </c>
      <c r="K706" s="92">
        <f t="shared" si="684"/>
        <v>1</v>
      </c>
      <c r="L706" s="92">
        <f t="shared" ref="L706:M706" si="685">L702</f>
        <v>1</v>
      </c>
      <c r="M706" s="92">
        <f t="shared" si="685"/>
        <v>1</v>
      </c>
      <c r="N706" s="150">
        <f>SUM(B706:M706)</f>
        <v>6</v>
      </c>
      <c r="O706" s="22">
        <f>IF(N706=0,0,AVERAGE(B706:M706))</f>
        <v>0.5</v>
      </c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s="9" customFormat="1" ht="15.75">
      <c r="A707" s="381" t="s">
        <v>155</v>
      </c>
      <c r="B707" s="372">
        <f t="shared" ref="B707:C707" si="686">SUM(B705:B706)</f>
        <v>1</v>
      </c>
      <c r="C707" s="372">
        <f t="shared" si="686"/>
        <v>0</v>
      </c>
      <c r="D707" s="372">
        <f t="shared" ref="D707:E707" si="687">SUM(D705:D706)</f>
        <v>0</v>
      </c>
      <c r="E707" s="372">
        <f t="shared" si="687"/>
        <v>0</v>
      </c>
      <c r="F707" s="372">
        <f t="shared" ref="F707:G707" si="688">SUM(F705:F706)</f>
        <v>0</v>
      </c>
      <c r="G707" s="372">
        <f t="shared" si="688"/>
        <v>0</v>
      </c>
      <c r="H707" s="372">
        <f t="shared" ref="H707:I707" si="689">SUM(H705:H706)</f>
        <v>1</v>
      </c>
      <c r="I707" s="372">
        <f t="shared" si="689"/>
        <v>0</v>
      </c>
      <c r="J707" s="372">
        <f t="shared" ref="J707:K707" si="690">SUM(J705:J706)</f>
        <v>1</v>
      </c>
      <c r="K707" s="372">
        <f t="shared" si="690"/>
        <v>1</v>
      </c>
      <c r="L707" s="372">
        <f t="shared" ref="L707:M707" si="691">SUM(L705:L706)</f>
        <v>1</v>
      </c>
      <c r="M707" s="372">
        <f t="shared" si="691"/>
        <v>1</v>
      </c>
      <c r="N707" s="373">
        <f>SUM(N705:N706)</f>
        <v>6</v>
      </c>
      <c r="O707" s="374">
        <f>SUM(O705:O706)</f>
        <v>0.5</v>
      </c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s="9" customFormat="1" ht="15.75">
      <c r="A708" s="202"/>
      <c r="B708" s="310"/>
      <c r="C708" s="310"/>
      <c r="D708" s="310"/>
      <c r="E708" s="310"/>
      <c r="F708" s="310"/>
      <c r="G708" s="310"/>
      <c r="H708" s="310"/>
      <c r="I708" s="310"/>
      <c r="J708" s="310"/>
      <c r="K708" s="310"/>
      <c r="L708" s="310"/>
      <c r="M708" s="310"/>
      <c r="N708" s="311"/>
      <c r="O708" s="139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s="9" customFormat="1" ht="15.75">
      <c r="A709" s="98" t="s">
        <v>757</v>
      </c>
      <c r="B709" s="99"/>
      <c r="C709" s="99"/>
      <c r="D709" s="99"/>
      <c r="E709" s="99"/>
      <c r="F709" s="99"/>
      <c r="G709" s="99"/>
      <c r="H709" s="99"/>
      <c r="I709" s="99"/>
      <c r="J709" s="99"/>
      <c r="K709" s="99"/>
      <c r="L709" s="99"/>
      <c r="M709" s="99"/>
      <c r="N709" s="169"/>
      <c r="O709" s="100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s="9" customFormat="1" ht="15.75">
      <c r="A710" s="66" t="s">
        <v>349</v>
      </c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49"/>
      <c r="O710" s="19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s="9" customFormat="1" ht="15.75">
      <c r="A711" s="40" t="s">
        <v>18</v>
      </c>
      <c r="B711" s="21">
        <v>0</v>
      </c>
      <c r="C711" s="21">
        <v>0</v>
      </c>
      <c r="D711" s="21">
        <v>0</v>
      </c>
      <c r="E711" s="21">
        <v>0</v>
      </c>
      <c r="F711" s="21">
        <v>0</v>
      </c>
      <c r="G711" s="21">
        <v>0</v>
      </c>
      <c r="H711" s="21">
        <v>0</v>
      </c>
      <c r="I711" s="21">
        <v>0</v>
      </c>
      <c r="J711" s="21">
        <v>0</v>
      </c>
      <c r="K711" s="87">
        <v>0</v>
      </c>
      <c r="L711" s="87">
        <v>0</v>
      </c>
      <c r="M711" s="87">
        <v>0</v>
      </c>
      <c r="N711" s="150">
        <f>SUM(B711:M711)</f>
        <v>0</v>
      </c>
      <c r="O711" s="22">
        <f>IF(N711=0,0,AVERAGE(B711:M711))</f>
        <v>0</v>
      </c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s="9" customFormat="1" ht="15.75">
      <c r="A712" s="40" t="s">
        <v>19</v>
      </c>
      <c r="B712" s="21">
        <v>0</v>
      </c>
      <c r="C712" s="21">
        <v>0</v>
      </c>
      <c r="D712" s="21">
        <v>0</v>
      </c>
      <c r="E712" s="21">
        <v>0</v>
      </c>
      <c r="F712" s="21">
        <v>0</v>
      </c>
      <c r="G712" s="21">
        <v>0</v>
      </c>
      <c r="H712" s="21">
        <v>0</v>
      </c>
      <c r="I712" s="21">
        <v>0</v>
      </c>
      <c r="J712" s="21">
        <v>0</v>
      </c>
      <c r="K712" s="87">
        <v>0</v>
      </c>
      <c r="L712" s="87">
        <v>0</v>
      </c>
      <c r="M712" s="87">
        <v>0</v>
      </c>
      <c r="N712" s="150">
        <f>SUM(B712:M712)</f>
        <v>0</v>
      </c>
      <c r="O712" s="22">
        <f>IF(N712=0,0,AVERAGE(B712:M712))</f>
        <v>0</v>
      </c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s="9" customFormat="1" ht="15.75">
      <c r="A713" s="40" t="s">
        <v>20</v>
      </c>
      <c r="B713" s="21">
        <v>0</v>
      </c>
      <c r="C713" s="21">
        <v>0</v>
      </c>
      <c r="D713" s="21">
        <v>0</v>
      </c>
      <c r="E713" s="21">
        <v>0</v>
      </c>
      <c r="F713" s="21">
        <v>0</v>
      </c>
      <c r="G713" s="21">
        <v>0</v>
      </c>
      <c r="H713" s="21">
        <v>0</v>
      </c>
      <c r="I713" s="21">
        <v>0</v>
      </c>
      <c r="J713" s="21">
        <v>0</v>
      </c>
      <c r="K713" s="21">
        <v>0</v>
      </c>
      <c r="L713" s="21">
        <v>0</v>
      </c>
      <c r="M713" s="21">
        <v>0</v>
      </c>
      <c r="N713" s="150">
        <f>SUM(B713:M713)</f>
        <v>0</v>
      </c>
      <c r="O713" s="22">
        <f>IF(N713=0,0,AVERAGE(B713:M713))</f>
        <v>0</v>
      </c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s="9" customFormat="1" ht="15.75">
      <c r="A714" s="62" t="s">
        <v>21</v>
      </c>
      <c r="B714" s="24">
        <f t="shared" ref="B714:C714" si="692">SUM(B711:B713)</f>
        <v>0</v>
      </c>
      <c r="C714" s="24">
        <f t="shared" si="692"/>
        <v>0</v>
      </c>
      <c r="D714" s="24">
        <f t="shared" ref="D714:E714" si="693">SUM(D711:D713)</f>
        <v>0</v>
      </c>
      <c r="E714" s="24">
        <f t="shared" si="693"/>
        <v>0</v>
      </c>
      <c r="F714" s="24">
        <f t="shared" ref="F714:G714" si="694">SUM(F711:F713)</f>
        <v>0</v>
      </c>
      <c r="G714" s="24">
        <f t="shared" si="694"/>
        <v>0</v>
      </c>
      <c r="H714" s="24">
        <f t="shared" ref="H714:I714" si="695">SUM(H711:H713)</f>
        <v>0</v>
      </c>
      <c r="I714" s="24">
        <f t="shared" si="695"/>
        <v>0</v>
      </c>
      <c r="J714" s="24">
        <f t="shared" ref="J714:K714" si="696">SUM(J711:J713)</f>
        <v>0</v>
      </c>
      <c r="K714" s="24">
        <f t="shared" si="696"/>
        <v>0</v>
      </c>
      <c r="L714" s="24">
        <f t="shared" ref="L714:M714" si="697">SUM(L711:L713)</f>
        <v>0</v>
      </c>
      <c r="M714" s="24">
        <f t="shared" si="697"/>
        <v>0</v>
      </c>
      <c r="N714" s="144">
        <f>SUM(N711:N713)</f>
        <v>0</v>
      </c>
      <c r="O714" s="25">
        <f>SUM(O711:O713)</f>
        <v>0</v>
      </c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s="9" customFormat="1" ht="15.75">
      <c r="A715" s="62" t="s">
        <v>112</v>
      </c>
      <c r="B715" s="25" t="s">
        <v>44</v>
      </c>
      <c r="C715" s="25" t="s">
        <v>44</v>
      </c>
      <c r="D715" s="25" t="s">
        <v>44</v>
      </c>
      <c r="E715" s="25" t="s">
        <v>44</v>
      </c>
      <c r="F715" s="25" t="s">
        <v>44</v>
      </c>
      <c r="G715" s="25" t="s">
        <v>44</v>
      </c>
      <c r="H715" s="25" t="s">
        <v>44</v>
      </c>
      <c r="I715" s="25" t="s">
        <v>44</v>
      </c>
      <c r="J715" s="25" t="s">
        <v>44</v>
      </c>
      <c r="K715" s="25" t="s">
        <v>44</v>
      </c>
      <c r="L715" s="25" t="s">
        <v>44</v>
      </c>
      <c r="M715" s="25" t="s">
        <v>44</v>
      </c>
      <c r="N715" s="144">
        <f>SUM(B715:M715)</f>
        <v>0</v>
      </c>
      <c r="O715" s="25">
        <f>IF(N715=0,0,AVERAGE(B715:M715))</f>
        <v>0</v>
      </c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s="9" customFormat="1" ht="15.75">
      <c r="A716" s="88"/>
      <c r="B716" s="89"/>
      <c r="C716" s="89"/>
      <c r="D716" s="89"/>
      <c r="E716" s="89"/>
      <c r="F716" s="89"/>
      <c r="G716" s="89"/>
      <c r="H716" s="89"/>
      <c r="I716" s="89"/>
      <c r="J716" s="89"/>
      <c r="K716" s="89"/>
      <c r="L716" s="89"/>
      <c r="M716" s="89"/>
      <c r="N716" s="167"/>
      <c r="O716" s="90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s="9" customFormat="1" ht="15.75">
      <c r="A717" s="66" t="s">
        <v>350</v>
      </c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49"/>
      <c r="O717" s="19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s="9" customFormat="1" ht="15.75">
      <c r="A718" s="37" t="s">
        <v>114</v>
      </c>
      <c r="B718" s="21">
        <v>65</v>
      </c>
      <c r="C718" s="21">
        <v>69</v>
      </c>
      <c r="D718" s="21">
        <v>72</v>
      </c>
      <c r="E718" s="21">
        <v>73</v>
      </c>
      <c r="F718" s="21">
        <v>73</v>
      </c>
      <c r="G718" s="21">
        <v>74</v>
      </c>
      <c r="H718" s="21">
        <v>74</v>
      </c>
      <c r="I718" s="21">
        <v>76</v>
      </c>
      <c r="J718" s="21">
        <v>76</v>
      </c>
      <c r="K718" s="21">
        <v>70</v>
      </c>
      <c r="L718" s="21">
        <v>81</v>
      </c>
      <c r="M718" s="21">
        <v>77</v>
      </c>
      <c r="N718" s="150">
        <f>SUM(B718:M718)</f>
        <v>880</v>
      </c>
      <c r="O718" s="22">
        <f>IF(N718=0,0,AVERAGE(B718:M718))</f>
        <v>73.333333333333329</v>
      </c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s="9" customFormat="1" ht="15.75">
      <c r="A719" s="62" t="s">
        <v>21</v>
      </c>
      <c r="B719" s="24">
        <f t="shared" ref="B719:C719" si="698">SUM(B716:B718)</f>
        <v>65</v>
      </c>
      <c r="C719" s="24">
        <f t="shared" si="698"/>
        <v>69</v>
      </c>
      <c r="D719" s="24">
        <f t="shared" ref="D719:E719" si="699">SUM(D716:D718)</f>
        <v>72</v>
      </c>
      <c r="E719" s="24">
        <f t="shared" si="699"/>
        <v>73</v>
      </c>
      <c r="F719" s="24">
        <f t="shared" ref="F719:G719" si="700">SUM(F716:F718)</f>
        <v>73</v>
      </c>
      <c r="G719" s="24">
        <f t="shared" si="700"/>
        <v>74</v>
      </c>
      <c r="H719" s="24">
        <f t="shared" ref="H719:I719" si="701">SUM(H716:H718)</f>
        <v>74</v>
      </c>
      <c r="I719" s="24">
        <f t="shared" si="701"/>
        <v>76</v>
      </c>
      <c r="J719" s="24">
        <f t="shared" ref="J719:K719" si="702">SUM(J716:J718)</f>
        <v>76</v>
      </c>
      <c r="K719" s="24">
        <f t="shared" si="702"/>
        <v>70</v>
      </c>
      <c r="L719" s="24">
        <f t="shared" ref="L719:M719" si="703">SUM(L716:L718)</f>
        <v>81</v>
      </c>
      <c r="M719" s="24">
        <f t="shared" si="703"/>
        <v>77</v>
      </c>
      <c r="N719" s="144">
        <f>SUM(N718)</f>
        <v>880</v>
      </c>
      <c r="O719" s="25">
        <f>SUM(O718)</f>
        <v>73.333333333333329</v>
      </c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s="9" customFormat="1" ht="15.75">
      <c r="A720" s="62" t="s">
        <v>112</v>
      </c>
      <c r="B720" s="25">
        <f t="shared" ref="B720:G720" si="704">IF(B719=0,"",B719/B$1870)</f>
        <v>2.096774193548387</v>
      </c>
      <c r="C720" s="25">
        <f t="shared" si="704"/>
        <v>2.4642857142857144</v>
      </c>
      <c r="D720" s="25">
        <f t="shared" si="704"/>
        <v>2.3225806451612905</v>
      </c>
      <c r="E720" s="25">
        <f t="shared" si="704"/>
        <v>2.4333333333333331</v>
      </c>
      <c r="F720" s="25">
        <f t="shared" si="704"/>
        <v>2.3548387096774195</v>
      </c>
      <c r="G720" s="25">
        <f t="shared" si="704"/>
        <v>2.4666666666666668</v>
      </c>
      <c r="H720" s="25">
        <f t="shared" ref="H720:I720" si="705">IF(H719=0,"",H719/H$1870)</f>
        <v>2.3870967741935485</v>
      </c>
      <c r="I720" s="25">
        <f t="shared" si="705"/>
        <v>2.4516129032258065</v>
      </c>
      <c r="J720" s="25">
        <f t="shared" ref="J720:K720" si="706">IF(J719=0,"",J719/J$1870)</f>
        <v>2.5333333333333332</v>
      </c>
      <c r="K720" s="25">
        <f t="shared" si="706"/>
        <v>2.2580645161290325</v>
      </c>
      <c r="L720" s="25">
        <f t="shared" ref="L720:M720" si="707">IF(L719=0,"",L719/L$1870)</f>
        <v>2.7</v>
      </c>
      <c r="M720" s="25">
        <f t="shared" si="707"/>
        <v>2.4838709677419355</v>
      </c>
      <c r="N720" s="144">
        <f>SUM(B720:M720)</f>
        <v>28.952457757296468</v>
      </c>
      <c r="O720" s="25">
        <f>IF(N720=0,0,AVERAGE(B720:M720))</f>
        <v>2.4127048131080389</v>
      </c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s="9" customFormat="1" ht="15.75">
      <c r="A721" s="88"/>
      <c r="B721" s="89"/>
      <c r="C721" s="89"/>
      <c r="D721" s="89"/>
      <c r="E721" s="89"/>
      <c r="F721" s="89"/>
      <c r="G721" s="89"/>
      <c r="H721" s="89"/>
      <c r="I721" s="89"/>
      <c r="J721" s="89"/>
      <c r="K721" s="89"/>
      <c r="L721" s="89"/>
      <c r="M721" s="89"/>
      <c r="N721" s="167"/>
      <c r="O721" s="90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s="9" customFormat="1" ht="15.75">
      <c r="A722" s="97" t="s">
        <v>153</v>
      </c>
      <c r="B722" s="92">
        <f t="shared" ref="B722:C722" si="708">B714</f>
        <v>0</v>
      </c>
      <c r="C722" s="92">
        <f t="shared" si="708"/>
        <v>0</v>
      </c>
      <c r="D722" s="92">
        <f t="shared" ref="D722:E722" si="709">D714</f>
        <v>0</v>
      </c>
      <c r="E722" s="92">
        <f t="shared" si="709"/>
        <v>0</v>
      </c>
      <c r="F722" s="92">
        <f t="shared" ref="F722:G722" si="710">F714</f>
        <v>0</v>
      </c>
      <c r="G722" s="92">
        <f t="shared" si="710"/>
        <v>0</v>
      </c>
      <c r="H722" s="92">
        <f t="shared" ref="H722:I722" si="711">H714</f>
        <v>0</v>
      </c>
      <c r="I722" s="92">
        <f t="shared" si="711"/>
        <v>0</v>
      </c>
      <c r="J722" s="92">
        <f t="shared" ref="J722:K722" si="712">J714</f>
        <v>0</v>
      </c>
      <c r="K722" s="92">
        <f t="shared" si="712"/>
        <v>0</v>
      </c>
      <c r="L722" s="92">
        <f t="shared" ref="L722:M722" si="713">L714</f>
        <v>0</v>
      </c>
      <c r="M722" s="92">
        <f t="shared" si="713"/>
        <v>0</v>
      </c>
      <c r="N722" s="150">
        <f>SUM(B722:M722)</f>
        <v>0</v>
      </c>
      <c r="O722" s="22">
        <f>IF(N722=0,0,AVERAGE(B722:M722))</f>
        <v>0</v>
      </c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s="9" customFormat="1" ht="15.75">
      <c r="A723" s="97" t="s">
        <v>154</v>
      </c>
      <c r="B723" s="92">
        <f t="shared" ref="B723:C723" si="714">B719</f>
        <v>65</v>
      </c>
      <c r="C723" s="92">
        <f t="shared" si="714"/>
        <v>69</v>
      </c>
      <c r="D723" s="92">
        <f t="shared" ref="D723:E723" si="715">D719</f>
        <v>72</v>
      </c>
      <c r="E723" s="92">
        <f t="shared" si="715"/>
        <v>73</v>
      </c>
      <c r="F723" s="92">
        <f t="shared" ref="F723:G723" si="716">F719</f>
        <v>73</v>
      </c>
      <c r="G723" s="92">
        <f t="shared" si="716"/>
        <v>74</v>
      </c>
      <c r="H723" s="92">
        <f t="shared" ref="H723:I723" si="717">H719</f>
        <v>74</v>
      </c>
      <c r="I723" s="92">
        <f t="shared" si="717"/>
        <v>76</v>
      </c>
      <c r="J723" s="92">
        <f t="shared" ref="J723:K723" si="718">J719</f>
        <v>76</v>
      </c>
      <c r="K723" s="92">
        <f t="shared" si="718"/>
        <v>70</v>
      </c>
      <c r="L723" s="92">
        <f t="shared" ref="L723:M723" si="719">L719</f>
        <v>81</v>
      </c>
      <c r="M723" s="92">
        <f t="shared" si="719"/>
        <v>77</v>
      </c>
      <c r="N723" s="150">
        <f>SUM(B723:M723)</f>
        <v>880</v>
      </c>
      <c r="O723" s="22">
        <f>IF(N723=0,0,AVERAGE(B723:M723))</f>
        <v>73.333333333333329</v>
      </c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s="9" customFormat="1" ht="15.75">
      <c r="A724" s="381" t="s">
        <v>155</v>
      </c>
      <c r="B724" s="372">
        <f t="shared" ref="B724:C724" si="720">SUM(B722:B723)</f>
        <v>65</v>
      </c>
      <c r="C724" s="372">
        <f t="shared" si="720"/>
        <v>69</v>
      </c>
      <c r="D724" s="372">
        <f t="shared" ref="D724:E724" si="721">SUM(D722:D723)</f>
        <v>72</v>
      </c>
      <c r="E724" s="372">
        <f t="shared" si="721"/>
        <v>73</v>
      </c>
      <c r="F724" s="372">
        <f t="shared" ref="F724:G724" si="722">SUM(F722:F723)</f>
        <v>73</v>
      </c>
      <c r="G724" s="372">
        <f t="shared" si="722"/>
        <v>74</v>
      </c>
      <c r="H724" s="372">
        <f t="shared" ref="H724:I724" si="723">SUM(H722:H723)</f>
        <v>74</v>
      </c>
      <c r="I724" s="372">
        <f t="shared" si="723"/>
        <v>76</v>
      </c>
      <c r="J724" s="372">
        <f t="shared" ref="J724:K724" si="724">SUM(J722:J723)</f>
        <v>76</v>
      </c>
      <c r="K724" s="372">
        <f t="shared" si="724"/>
        <v>70</v>
      </c>
      <c r="L724" s="372">
        <f t="shared" ref="L724:M724" si="725">SUM(L722:L723)</f>
        <v>81</v>
      </c>
      <c r="M724" s="372">
        <f t="shared" si="725"/>
        <v>77</v>
      </c>
      <c r="N724" s="373">
        <f>SUM(N722:N723)</f>
        <v>880</v>
      </c>
      <c r="O724" s="374">
        <f>SUM(O722:O723)</f>
        <v>73.333333333333329</v>
      </c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s="9" customFormat="1" ht="15.75">
      <c r="A725" s="202"/>
      <c r="B725" s="310"/>
      <c r="C725" s="310"/>
      <c r="D725" s="310"/>
      <c r="E725" s="310"/>
      <c r="F725" s="310"/>
      <c r="G725" s="310"/>
      <c r="H725" s="310"/>
      <c r="I725" s="310"/>
      <c r="J725" s="310"/>
      <c r="K725" s="310"/>
      <c r="L725" s="310"/>
      <c r="M725" s="310"/>
      <c r="N725" s="311"/>
      <c r="O725" s="139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s="9" customFormat="1" ht="15.75">
      <c r="A726" s="98" t="s">
        <v>758</v>
      </c>
      <c r="B726" s="99"/>
      <c r="C726" s="99"/>
      <c r="D726" s="99"/>
      <c r="E726" s="99"/>
      <c r="F726" s="99"/>
      <c r="G726" s="99"/>
      <c r="H726" s="99"/>
      <c r="I726" s="99"/>
      <c r="J726" s="99"/>
      <c r="K726" s="99"/>
      <c r="L726" s="99"/>
      <c r="M726" s="99"/>
      <c r="N726" s="169"/>
      <c r="O726" s="100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s="9" customFormat="1" ht="15.75">
      <c r="A727" s="66" t="s">
        <v>351</v>
      </c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49"/>
      <c r="O727" s="19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s="9" customFormat="1" ht="15.75">
      <c r="A728" s="40" t="s">
        <v>18</v>
      </c>
      <c r="B728" s="21">
        <v>0</v>
      </c>
      <c r="C728" s="21">
        <v>0</v>
      </c>
      <c r="D728" s="21">
        <v>0</v>
      </c>
      <c r="E728" s="21">
        <v>0</v>
      </c>
      <c r="F728" s="21">
        <v>0</v>
      </c>
      <c r="G728" s="21">
        <v>0</v>
      </c>
      <c r="H728" s="21">
        <v>0</v>
      </c>
      <c r="I728" s="21">
        <v>0</v>
      </c>
      <c r="J728" s="21">
        <v>0</v>
      </c>
      <c r="K728" s="21">
        <v>0</v>
      </c>
      <c r="L728" s="21">
        <v>0</v>
      </c>
      <c r="M728" s="21">
        <v>0</v>
      </c>
      <c r="N728" s="150">
        <f>SUM(B728:M728)</f>
        <v>0</v>
      </c>
      <c r="O728" s="22">
        <f>IF(N728=0,0,AVERAGE(B728:M728))</f>
        <v>0</v>
      </c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s="9" customFormat="1" ht="15.75">
      <c r="A729" s="40" t="s">
        <v>19</v>
      </c>
      <c r="B729" s="21">
        <v>7</v>
      </c>
      <c r="C729" s="21">
        <v>1</v>
      </c>
      <c r="D729" s="21">
        <v>1</v>
      </c>
      <c r="E729" s="21">
        <v>3</v>
      </c>
      <c r="F729" s="21">
        <v>0</v>
      </c>
      <c r="G729" s="21">
        <v>4</v>
      </c>
      <c r="H729" s="21">
        <v>4</v>
      </c>
      <c r="I729" s="21">
        <v>1</v>
      </c>
      <c r="J729" s="21">
        <v>1</v>
      </c>
      <c r="K729" s="21">
        <v>1</v>
      </c>
      <c r="L729" s="21">
        <v>0</v>
      </c>
      <c r="M729" s="21">
        <v>4</v>
      </c>
      <c r="N729" s="150">
        <f>SUM(B729:M729)</f>
        <v>27</v>
      </c>
      <c r="O729" s="22">
        <f>IF(N729=0,0,AVERAGE(B729:M729))</f>
        <v>2.25</v>
      </c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s="9" customFormat="1" ht="15.75">
      <c r="A730" s="40" t="s">
        <v>20</v>
      </c>
      <c r="B730" s="21">
        <v>1</v>
      </c>
      <c r="C730" s="21">
        <v>0</v>
      </c>
      <c r="D730" s="21">
        <v>1</v>
      </c>
      <c r="E730" s="21">
        <v>0</v>
      </c>
      <c r="F730" s="21">
        <v>0</v>
      </c>
      <c r="G730" s="21">
        <v>0</v>
      </c>
      <c r="H730" s="21">
        <v>0</v>
      </c>
      <c r="I730" s="21">
        <v>0</v>
      </c>
      <c r="J730" s="21">
        <v>1</v>
      </c>
      <c r="K730" s="21">
        <v>0</v>
      </c>
      <c r="L730" s="21">
        <v>0</v>
      </c>
      <c r="M730" s="21">
        <v>0</v>
      </c>
      <c r="N730" s="150">
        <f>SUM(B730:M730)</f>
        <v>3</v>
      </c>
      <c r="O730" s="22">
        <f>IF(N730=0,0,AVERAGE(B730:M730))</f>
        <v>0.25</v>
      </c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s="9" customFormat="1" ht="15.75">
      <c r="A731" s="62" t="s">
        <v>21</v>
      </c>
      <c r="B731" s="24">
        <f t="shared" ref="B731:C731" si="726">SUM(B728:B730)</f>
        <v>8</v>
      </c>
      <c r="C731" s="24">
        <f t="shared" si="726"/>
        <v>1</v>
      </c>
      <c r="D731" s="24">
        <f t="shared" ref="D731:E731" si="727">SUM(D728:D730)</f>
        <v>2</v>
      </c>
      <c r="E731" s="24">
        <f t="shared" si="727"/>
        <v>3</v>
      </c>
      <c r="F731" s="24">
        <f t="shared" ref="F731:G731" si="728">SUM(F728:F730)</f>
        <v>0</v>
      </c>
      <c r="G731" s="24">
        <f t="shared" si="728"/>
        <v>4</v>
      </c>
      <c r="H731" s="24">
        <f t="shared" ref="H731:I731" si="729">SUM(H728:H730)</f>
        <v>4</v>
      </c>
      <c r="I731" s="24">
        <f t="shared" si="729"/>
        <v>1</v>
      </c>
      <c r="J731" s="24">
        <f t="shared" ref="J731:K731" si="730">SUM(J728:J730)</f>
        <v>2</v>
      </c>
      <c r="K731" s="24">
        <f t="shared" si="730"/>
        <v>1</v>
      </c>
      <c r="L731" s="24">
        <f t="shared" ref="L731:M731" si="731">SUM(L728:L730)</f>
        <v>0</v>
      </c>
      <c r="M731" s="24">
        <f t="shared" si="731"/>
        <v>4</v>
      </c>
      <c r="N731" s="144">
        <f>SUM(N728:N730)</f>
        <v>30</v>
      </c>
      <c r="O731" s="25">
        <f>SUM(O728:O730)</f>
        <v>2.5</v>
      </c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s="9" customFormat="1" ht="15.75">
      <c r="A732" s="62" t="s">
        <v>112</v>
      </c>
      <c r="B732" s="25">
        <f t="shared" ref="B732:G732" si="732">IF(B731=0,"",B731/B$1870)</f>
        <v>0.25806451612903225</v>
      </c>
      <c r="C732" s="25">
        <f t="shared" si="732"/>
        <v>3.5714285714285712E-2</v>
      </c>
      <c r="D732" s="25">
        <f t="shared" si="732"/>
        <v>6.4516129032258063E-2</v>
      </c>
      <c r="E732" s="25">
        <f t="shared" si="732"/>
        <v>0.1</v>
      </c>
      <c r="F732" s="25" t="s">
        <v>44</v>
      </c>
      <c r="G732" s="25">
        <f t="shared" si="732"/>
        <v>0.13333333333333333</v>
      </c>
      <c r="H732" s="25">
        <f t="shared" ref="H732:I732" si="733">IF(H731=0,"",H731/H$1870)</f>
        <v>0.12903225806451613</v>
      </c>
      <c r="I732" s="25">
        <f t="shared" si="733"/>
        <v>3.2258064516129031E-2</v>
      </c>
      <c r="J732" s="25">
        <f t="shared" ref="J732:K732" si="734">IF(J731=0,"",J731/J$1870)</f>
        <v>6.6666666666666666E-2</v>
      </c>
      <c r="K732" s="25">
        <f t="shared" si="734"/>
        <v>3.2258064516129031E-2</v>
      </c>
      <c r="L732" s="25" t="s">
        <v>44</v>
      </c>
      <c r="M732" s="25">
        <f t="shared" ref="M732" si="735">IF(M731=0,"",M731/M$1870)</f>
        <v>0.12903225806451613</v>
      </c>
      <c r="N732" s="144">
        <f>SUM(B732:M732)</f>
        <v>0.98087557603686626</v>
      </c>
      <c r="O732" s="25">
        <f>IF(N732=0,0,AVERAGE(B732:M732))</f>
        <v>9.808755760368662E-2</v>
      </c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s="9" customFormat="1" ht="15.75">
      <c r="A733" s="88"/>
      <c r="B733" s="89"/>
      <c r="C733" s="89"/>
      <c r="D733" s="89"/>
      <c r="E733" s="89"/>
      <c r="F733" s="89"/>
      <c r="G733" s="89"/>
      <c r="H733" s="89"/>
      <c r="I733" s="89"/>
      <c r="J733" s="89"/>
      <c r="K733" s="89"/>
      <c r="L733" s="89"/>
      <c r="M733" s="89"/>
      <c r="N733" s="167"/>
      <c r="O733" s="90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s="9" customFormat="1" ht="15.75">
      <c r="A734" s="66" t="s">
        <v>352</v>
      </c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49"/>
      <c r="O734" s="19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s="9" customFormat="1" ht="15.75">
      <c r="A735" s="37" t="s">
        <v>114</v>
      </c>
      <c r="B735" s="21">
        <v>1</v>
      </c>
      <c r="C735" s="21">
        <v>0</v>
      </c>
      <c r="D735" s="21">
        <v>0</v>
      </c>
      <c r="E735" s="21">
        <v>1</v>
      </c>
      <c r="F735" s="21">
        <v>1</v>
      </c>
      <c r="G735" s="21">
        <v>1</v>
      </c>
      <c r="H735" s="21">
        <v>0</v>
      </c>
      <c r="I735" s="21">
        <v>2</v>
      </c>
      <c r="J735" s="21">
        <v>1</v>
      </c>
      <c r="K735" s="21">
        <v>1</v>
      </c>
      <c r="L735" s="21">
        <v>2</v>
      </c>
      <c r="M735" s="21">
        <v>0</v>
      </c>
      <c r="N735" s="150">
        <f>SUM(B735:M735)</f>
        <v>10</v>
      </c>
      <c r="O735" s="22">
        <f>IF(N735=0,0,AVERAGE(B735:M735))</f>
        <v>0.83333333333333337</v>
      </c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s="9" customFormat="1" ht="15.75">
      <c r="A736" s="62" t="s">
        <v>21</v>
      </c>
      <c r="B736" s="24">
        <f t="shared" ref="B736:C736" si="736">SUM(B735)</f>
        <v>1</v>
      </c>
      <c r="C736" s="24">
        <f t="shared" si="736"/>
        <v>0</v>
      </c>
      <c r="D736" s="24">
        <f t="shared" ref="D736:E736" si="737">SUM(D735)</f>
        <v>0</v>
      </c>
      <c r="E736" s="24">
        <f t="shared" si="737"/>
        <v>1</v>
      </c>
      <c r="F736" s="24">
        <f t="shared" ref="F736:G736" si="738">SUM(F735)</f>
        <v>1</v>
      </c>
      <c r="G736" s="24">
        <f t="shared" si="738"/>
        <v>1</v>
      </c>
      <c r="H736" s="24">
        <f t="shared" ref="H736:I736" si="739">SUM(H735)</f>
        <v>0</v>
      </c>
      <c r="I736" s="24">
        <f t="shared" si="739"/>
        <v>2</v>
      </c>
      <c r="J736" s="24">
        <f t="shared" ref="J736:K736" si="740">SUM(J735)</f>
        <v>1</v>
      </c>
      <c r="K736" s="24">
        <f t="shared" si="740"/>
        <v>1</v>
      </c>
      <c r="L736" s="24">
        <f t="shared" ref="L736:M736" si="741">SUM(L735)</f>
        <v>2</v>
      </c>
      <c r="M736" s="24">
        <f t="shared" si="741"/>
        <v>0</v>
      </c>
      <c r="N736" s="144">
        <f>SUM(N735)</f>
        <v>10</v>
      </c>
      <c r="O736" s="25">
        <f>SUM(O735)</f>
        <v>0.83333333333333337</v>
      </c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s="9" customFormat="1" ht="15.75">
      <c r="A737" s="62" t="s">
        <v>112</v>
      </c>
      <c r="B737" s="25">
        <f t="shared" ref="B737:G737" si="742">IF(B736=0,"",B736/B$1870)</f>
        <v>3.2258064516129031E-2</v>
      </c>
      <c r="C737" s="25" t="s">
        <v>44</v>
      </c>
      <c r="D737" s="25" t="s">
        <v>44</v>
      </c>
      <c r="E737" s="25">
        <f t="shared" si="742"/>
        <v>3.3333333333333333E-2</v>
      </c>
      <c r="F737" s="25">
        <f t="shared" si="742"/>
        <v>3.2258064516129031E-2</v>
      </c>
      <c r="G737" s="25">
        <f t="shared" si="742"/>
        <v>3.3333333333333333E-2</v>
      </c>
      <c r="H737" s="25" t="s">
        <v>44</v>
      </c>
      <c r="I737" s="25">
        <f t="shared" ref="I737:J737" si="743">IF(I736=0,"",I736/I$1870)</f>
        <v>6.4516129032258063E-2</v>
      </c>
      <c r="J737" s="25">
        <f t="shared" si="743"/>
        <v>3.3333333333333333E-2</v>
      </c>
      <c r="K737" s="25">
        <f t="shared" ref="K737:L737" si="744">IF(K736=0,"",K736/K$1870)</f>
        <v>3.2258064516129031E-2</v>
      </c>
      <c r="L737" s="25">
        <f t="shared" si="744"/>
        <v>6.6666666666666666E-2</v>
      </c>
      <c r="M737" s="25" t="s">
        <v>44</v>
      </c>
      <c r="N737" s="144">
        <f>SUM(B737:M737)</f>
        <v>0.32795698924731176</v>
      </c>
      <c r="O737" s="25">
        <f>IF(N737=0,0,AVERAGE(B737:M737))</f>
        <v>4.099462365591397E-2</v>
      </c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s="9" customFormat="1" ht="15.75">
      <c r="A738" s="88"/>
      <c r="B738" s="89"/>
      <c r="C738" s="89"/>
      <c r="D738" s="89"/>
      <c r="E738" s="89"/>
      <c r="F738" s="89"/>
      <c r="G738" s="89"/>
      <c r="H738" s="89"/>
      <c r="I738" s="89"/>
      <c r="J738" s="89"/>
      <c r="K738" s="89"/>
      <c r="L738" s="89"/>
      <c r="M738" s="89"/>
      <c r="N738" s="167"/>
      <c r="O738" s="90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s="9" customFormat="1" ht="15.75">
      <c r="A739" s="97" t="s">
        <v>153</v>
      </c>
      <c r="B739" s="92">
        <f t="shared" ref="B739:C739" si="745">B731</f>
        <v>8</v>
      </c>
      <c r="C739" s="92">
        <f t="shared" si="745"/>
        <v>1</v>
      </c>
      <c r="D739" s="92">
        <f t="shared" ref="D739:E739" si="746">D731</f>
        <v>2</v>
      </c>
      <c r="E739" s="92">
        <f t="shared" si="746"/>
        <v>3</v>
      </c>
      <c r="F739" s="92">
        <f t="shared" ref="F739:G739" si="747">F731</f>
        <v>0</v>
      </c>
      <c r="G739" s="92">
        <f t="shared" si="747"/>
        <v>4</v>
      </c>
      <c r="H739" s="92">
        <f t="shared" ref="H739:I739" si="748">H731</f>
        <v>4</v>
      </c>
      <c r="I739" s="92">
        <f t="shared" si="748"/>
        <v>1</v>
      </c>
      <c r="J739" s="92">
        <f t="shared" ref="J739:K739" si="749">J731</f>
        <v>2</v>
      </c>
      <c r="K739" s="92">
        <f t="shared" si="749"/>
        <v>1</v>
      </c>
      <c r="L739" s="92">
        <f t="shared" ref="L739:M739" si="750">L731</f>
        <v>0</v>
      </c>
      <c r="M739" s="92">
        <f t="shared" si="750"/>
        <v>4</v>
      </c>
      <c r="N739" s="150">
        <f>SUM(B739:M739)</f>
        <v>30</v>
      </c>
      <c r="O739" s="22">
        <f>IF(N739=0,0,AVERAGE(B739:M739))</f>
        <v>2.5</v>
      </c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s="9" customFormat="1" ht="15.75">
      <c r="A740" s="97" t="s">
        <v>154</v>
      </c>
      <c r="B740" s="92">
        <f t="shared" ref="B740:C740" si="751">B736</f>
        <v>1</v>
      </c>
      <c r="C740" s="92">
        <f t="shared" si="751"/>
        <v>0</v>
      </c>
      <c r="D740" s="92">
        <f t="shared" ref="D740:E740" si="752">D736</f>
        <v>0</v>
      </c>
      <c r="E740" s="92">
        <f t="shared" si="752"/>
        <v>1</v>
      </c>
      <c r="F740" s="92">
        <f t="shared" ref="F740:G740" si="753">F736</f>
        <v>1</v>
      </c>
      <c r="G740" s="92">
        <f t="shared" si="753"/>
        <v>1</v>
      </c>
      <c r="H740" s="92">
        <f t="shared" ref="H740:I740" si="754">H736</f>
        <v>0</v>
      </c>
      <c r="I740" s="92">
        <f t="shared" si="754"/>
        <v>2</v>
      </c>
      <c r="J740" s="92">
        <f t="shared" ref="J740:K740" si="755">J736</f>
        <v>1</v>
      </c>
      <c r="K740" s="92">
        <f t="shared" si="755"/>
        <v>1</v>
      </c>
      <c r="L740" s="92">
        <f t="shared" ref="L740:M740" si="756">L736</f>
        <v>2</v>
      </c>
      <c r="M740" s="92">
        <f t="shared" si="756"/>
        <v>0</v>
      </c>
      <c r="N740" s="150">
        <f>SUM(B740:M740)</f>
        <v>10</v>
      </c>
      <c r="O740" s="22">
        <f>IF(N740=0,0,AVERAGE(B740:M740))</f>
        <v>0.83333333333333337</v>
      </c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s="9" customFormat="1" ht="15.75">
      <c r="A741" s="381" t="s">
        <v>155</v>
      </c>
      <c r="B741" s="372">
        <f t="shared" ref="B741:C741" si="757">SUM(B739:B740)</f>
        <v>9</v>
      </c>
      <c r="C741" s="372">
        <f t="shared" si="757"/>
        <v>1</v>
      </c>
      <c r="D741" s="372">
        <f t="shared" ref="D741:E741" si="758">SUM(D739:D740)</f>
        <v>2</v>
      </c>
      <c r="E741" s="372">
        <f t="shared" si="758"/>
        <v>4</v>
      </c>
      <c r="F741" s="372">
        <f t="shared" ref="F741:G741" si="759">SUM(F739:F740)</f>
        <v>1</v>
      </c>
      <c r="G741" s="372">
        <f t="shared" si="759"/>
        <v>5</v>
      </c>
      <c r="H741" s="372">
        <f t="shared" ref="H741:I741" si="760">SUM(H739:H740)</f>
        <v>4</v>
      </c>
      <c r="I741" s="372">
        <f t="shared" si="760"/>
        <v>3</v>
      </c>
      <c r="J741" s="372">
        <f t="shared" ref="J741:K741" si="761">SUM(J739:J740)</f>
        <v>3</v>
      </c>
      <c r="K741" s="372">
        <f t="shared" si="761"/>
        <v>2</v>
      </c>
      <c r="L741" s="372">
        <f t="shared" ref="L741:M741" si="762">SUM(L739:L740)</f>
        <v>2</v>
      </c>
      <c r="M741" s="372">
        <f t="shared" si="762"/>
        <v>4</v>
      </c>
      <c r="N741" s="373">
        <f>SUM(N739:N740)</f>
        <v>40</v>
      </c>
      <c r="O741" s="374">
        <f>SUM(O739:O740)</f>
        <v>3.3333333333333335</v>
      </c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s="9" customFormat="1" ht="15.75">
      <c r="A742" s="88"/>
      <c r="B742" s="354"/>
      <c r="C742" s="354"/>
      <c r="D742" s="354"/>
      <c r="E742" s="354"/>
      <c r="F742" s="354"/>
      <c r="G742" s="354"/>
      <c r="H742" s="354"/>
      <c r="I742" s="354"/>
      <c r="J742" s="354"/>
      <c r="K742" s="354"/>
      <c r="L742" s="354"/>
      <c r="M742" s="354"/>
      <c r="N742" s="166"/>
      <c r="O742" s="355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s="9" customFormat="1" ht="15.75">
      <c r="A743" s="391" t="s">
        <v>759</v>
      </c>
      <c r="B743" s="397"/>
      <c r="C743" s="397"/>
      <c r="D743" s="397"/>
      <c r="E743" s="397"/>
      <c r="F743" s="397"/>
      <c r="G743" s="397"/>
      <c r="H743" s="397"/>
      <c r="I743" s="397"/>
      <c r="J743" s="397"/>
      <c r="K743" s="397"/>
      <c r="L743" s="397"/>
      <c r="M743" s="397"/>
      <c r="N743" s="398"/>
      <c r="O743" s="399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s="9" customFormat="1" ht="15.75">
      <c r="A744" s="371" t="s">
        <v>178</v>
      </c>
      <c r="B744" s="21">
        <v>1</v>
      </c>
      <c r="C744" s="21">
        <v>0</v>
      </c>
      <c r="D744" s="21">
        <v>2</v>
      </c>
      <c r="E744" s="21">
        <v>6</v>
      </c>
      <c r="F744" s="21">
        <v>1</v>
      </c>
      <c r="G744" s="21">
        <v>4</v>
      </c>
      <c r="H744" s="21">
        <v>4</v>
      </c>
      <c r="I744" s="21">
        <v>1</v>
      </c>
      <c r="J744" s="21">
        <v>0</v>
      </c>
      <c r="K744" s="21">
        <v>0</v>
      </c>
      <c r="L744" s="21">
        <v>0</v>
      </c>
      <c r="M744" s="21">
        <v>4</v>
      </c>
      <c r="N744" s="150">
        <f>SUM(B744:M744)</f>
        <v>23</v>
      </c>
      <c r="O744" s="22">
        <f>IF(N744=0,0,AVERAGE(B744:M744))</f>
        <v>1.9166666666666667</v>
      </c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s="9" customFormat="1" ht="15.75">
      <c r="A745" s="371" t="s">
        <v>825</v>
      </c>
      <c r="B745" s="21">
        <v>4</v>
      </c>
      <c r="C745" s="21">
        <v>2</v>
      </c>
      <c r="D745" s="21">
        <v>1</v>
      </c>
      <c r="E745" s="21">
        <v>3</v>
      </c>
      <c r="F745" s="21">
        <v>0</v>
      </c>
      <c r="G745" s="21">
        <v>3</v>
      </c>
      <c r="H745" s="21">
        <v>3</v>
      </c>
      <c r="I745" s="21">
        <v>0</v>
      </c>
      <c r="J745" s="21">
        <v>1</v>
      </c>
      <c r="K745" s="21">
        <v>0</v>
      </c>
      <c r="L745" s="21">
        <v>0</v>
      </c>
      <c r="M745" s="21">
        <v>3</v>
      </c>
      <c r="N745" s="150">
        <f>SUM(B745:M745)</f>
        <v>20</v>
      </c>
      <c r="O745" s="22">
        <f>IF(N745=0,0,AVERAGE(B745:M745))</f>
        <v>1.6666666666666667</v>
      </c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s="9" customFormat="1" ht="15.75">
      <c r="A746" s="371" t="s">
        <v>22</v>
      </c>
      <c r="B746" s="21">
        <v>0</v>
      </c>
      <c r="C746" s="21">
        <v>0</v>
      </c>
      <c r="D746" s="21">
        <v>0</v>
      </c>
      <c r="E746" s="21">
        <v>0</v>
      </c>
      <c r="F746" s="21">
        <v>0</v>
      </c>
      <c r="G746" s="21">
        <v>0</v>
      </c>
      <c r="H746" s="21">
        <v>0</v>
      </c>
      <c r="I746" s="21">
        <v>0</v>
      </c>
      <c r="J746" s="21">
        <v>0</v>
      </c>
      <c r="K746" s="21">
        <v>0</v>
      </c>
      <c r="L746" s="21">
        <v>0</v>
      </c>
      <c r="M746" s="21">
        <v>0</v>
      </c>
      <c r="N746" s="150">
        <f>SUM(B746:M746)</f>
        <v>0</v>
      </c>
      <c r="O746" s="22">
        <f>IF(N746=0,0,AVERAGE(B746:M746))</f>
        <v>0</v>
      </c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s="9" customFormat="1" ht="15.75">
      <c r="A747" s="267" t="s">
        <v>21</v>
      </c>
      <c r="B747" s="372">
        <f t="shared" ref="B747:F747" si="763">SUM(B744:B746)</f>
        <v>5</v>
      </c>
      <c r="C747" s="372">
        <f t="shared" si="763"/>
        <v>2</v>
      </c>
      <c r="D747" s="372">
        <f t="shared" si="763"/>
        <v>3</v>
      </c>
      <c r="E747" s="372">
        <f t="shared" si="763"/>
        <v>9</v>
      </c>
      <c r="F747" s="372">
        <f t="shared" si="763"/>
        <v>1</v>
      </c>
      <c r="G747" s="372">
        <f t="shared" ref="G747:K747" si="764">SUM(G744:G746)</f>
        <v>7</v>
      </c>
      <c r="H747" s="372">
        <f t="shared" si="764"/>
        <v>7</v>
      </c>
      <c r="I747" s="372">
        <f t="shared" si="764"/>
        <v>1</v>
      </c>
      <c r="J747" s="372">
        <f t="shared" si="764"/>
        <v>1</v>
      </c>
      <c r="K747" s="372">
        <f t="shared" si="764"/>
        <v>0</v>
      </c>
      <c r="L747" s="372">
        <f t="shared" ref="L747:M747" si="765">SUM(L744:L746)</f>
        <v>0</v>
      </c>
      <c r="M747" s="372">
        <f t="shared" si="765"/>
        <v>7</v>
      </c>
      <c r="N747" s="373">
        <f>SUM(N744:N746)</f>
        <v>43</v>
      </c>
      <c r="O747" s="374">
        <f>SUM(O744:O746)</f>
        <v>3.5833333333333335</v>
      </c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s="9" customFormat="1" ht="15.75">
      <c r="A748" s="88"/>
      <c r="B748" s="354"/>
      <c r="C748" s="354"/>
      <c r="D748" s="354"/>
      <c r="E748" s="354"/>
      <c r="F748" s="354"/>
      <c r="G748" s="354"/>
      <c r="H748" s="354"/>
      <c r="I748" s="354"/>
      <c r="J748" s="354"/>
      <c r="K748" s="354"/>
      <c r="L748" s="354"/>
      <c r="M748" s="354"/>
      <c r="N748" s="166"/>
      <c r="O748" s="355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s="9" customFormat="1" ht="15.75">
      <c r="A749" s="400" t="s">
        <v>765</v>
      </c>
      <c r="B749" s="401"/>
      <c r="C749" s="401"/>
      <c r="D749" s="401"/>
      <c r="E749" s="401"/>
      <c r="F749" s="401"/>
      <c r="G749" s="401"/>
      <c r="H749" s="401"/>
      <c r="I749" s="401"/>
      <c r="J749" s="401"/>
      <c r="K749" s="401"/>
      <c r="L749" s="401"/>
      <c r="M749" s="401"/>
      <c r="N749" s="402"/>
      <c r="O749" s="403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s="9" customFormat="1" ht="15.75">
      <c r="A750" s="66" t="s">
        <v>353</v>
      </c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49"/>
      <c r="O750" s="19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s="9" customFormat="1" ht="15.75">
      <c r="A751" s="40" t="s">
        <v>18</v>
      </c>
      <c r="B751" s="21">
        <v>1</v>
      </c>
      <c r="C751" s="21">
        <v>0</v>
      </c>
      <c r="D751" s="21">
        <v>0</v>
      </c>
      <c r="E751" s="21">
        <v>1</v>
      </c>
      <c r="F751" s="21">
        <v>0</v>
      </c>
      <c r="G751" s="21">
        <v>5</v>
      </c>
      <c r="H751" s="21">
        <v>2</v>
      </c>
      <c r="I751" s="21">
        <v>2</v>
      </c>
      <c r="J751" s="87">
        <v>3</v>
      </c>
      <c r="K751" s="21">
        <v>1</v>
      </c>
      <c r="L751" s="21">
        <v>3</v>
      </c>
      <c r="M751" s="21">
        <v>7</v>
      </c>
      <c r="N751" s="150">
        <f>SUM(B751:M751)</f>
        <v>25</v>
      </c>
      <c r="O751" s="22">
        <f>IF(N751=0,0,AVERAGE(B751:M751))</f>
        <v>2.0833333333333335</v>
      </c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s="9" customFormat="1" ht="15.75">
      <c r="A752" s="40" t="s">
        <v>19</v>
      </c>
      <c r="B752" s="21">
        <v>2</v>
      </c>
      <c r="C752" s="21">
        <v>3</v>
      </c>
      <c r="D752" s="21">
        <v>1</v>
      </c>
      <c r="E752" s="21">
        <v>4</v>
      </c>
      <c r="F752" s="21">
        <v>0</v>
      </c>
      <c r="G752" s="21">
        <v>0</v>
      </c>
      <c r="H752" s="21">
        <v>3</v>
      </c>
      <c r="I752" s="21">
        <v>1</v>
      </c>
      <c r="J752" s="87">
        <v>2</v>
      </c>
      <c r="K752" s="21">
        <v>0</v>
      </c>
      <c r="L752" s="21">
        <v>4</v>
      </c>
      <c r="M752" s="21">
        <v>0</v>
      </c>
      <c r="N752" s="150">
        <f>SUM(B752:M752)</f>
        <v>20</v>
      </c>
      <c r="O752" s="22">
        <f>IF(N752=0,0,AVERAGE(B752:M752))</f>
        <v>1.6666666666666667</v>
      </c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s="9" customFormat="1" ht="15.75">
      <c r="A753" s="40" t="s">
        <v>20</v>
      </c>
      <c r="B753" s="21">
        <v>0</v>
      </c>
      <c r="C753" s="21">
        <v>0</v>
      </c>
      <c r="D753" s="21">
        <v>0</v>
      </c>
      <c r="E753" s="21">
        <v>0</v>
      </c>
      <c r="F753" s="21">
        <v>0</v>
      </c>
      <c r="G753" s="21">
        <v>0</v>
      </c>
      <c r="H753" s="21">
        <v>0</v>
      </c>
      <c r="I753" s="21">
        <v>0</v>
      </c>
      <c r="J753" s="87">
        <v>0</v>
      </c>
      <c r="K753" s="21">
        <v>1</v>
      </c>
      <c r="L753" s="21">
        <v>0</v>
      </c>
      <c r="M753" s="21">
        <v>0</v>
      </c>
      <c r="N753" s="150">
        <f>SUM(B753:M753)</f>
        <v>1</v>
      </c>
      <c r="O753" s="22">
        <f>IF(N753=0,0,AVERAGE(B753:M753))</f>
        <v>8.3333333333333329E-2</v>
      </c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s="9" customFormat="1" ht="15.75">
      <c r="A754" s="62" t="s">
        <v>21</v>
      </c>
      <c r="B754" s="24">
        <f t="shared" ref="B754:C754" si="766">SUM(B751:B753)</f>
        <v>3</v>
      </c>
      <c r="C754" s="24">
        <f t="shared" si="766"/>
        <v>3</v>
      </c>
      <c r="D754" s="24">
        <f t="shared" ref="D754:E754" si="767">SUM(D751:D753)</f>
        <v>1</v>
      </c>
      <c r="E754" s="24">
        <f t="shared" si="767"/>
        <v>5</v>
      </c>
      <c r="F754" s="24">
        <f t="shared" ref="F754:G754" si="768">SUM(F751:F753)</f>
        <v>0</v>
      </c>
      <c r="G754" s="24">
        <f t="shared" si="768"/>
        <v>5</v>
      </c>
      <c r="H754" s="24">
        <f t="shared" ref="H754:I754" si="769">SUM(H751:H753)</f>
        <v>5</v>
      </c>
      <c r="I754" s="24">
        <f t="shared" si="769"/>
        <v>3</v>
      </c>
      <c r="J754" s="24">
        <f t="shared" ref="J754:K754" si="770">SUM(J751:J753)</f>
        <v>5</v>
      </c>
      <c r="K754" s="24">
        <f t="shared" si="770"/>
        <v>2</v>
      </c>
      <c r="L754" s="24">
        <f t="shared" ref="L754:M754" si="771">SUM(L751:L753)</f>
        <v>7</v>
      </c>
      <c r="M754" s="24">
        <f t="shared" si="771"/>
        <v>7</v>
      </c>
      <c r="N754" s="144">
        <f>SUM(N751:N753)</f>
        <v>46</v>
      </c>
      <c r="O754" s="25">
        <f>SUM(O751:O753)</f>
        <v>3.8333333333333335</v>
      </c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s="9" customFormat="1" ht="15.75">
      <c r="A755" s="62" t="s">
        <v>112</v>
      </c>
      <c r="B755" s="25">
        <f>IF(B754=0,"",B754/B$1870)</f>
        <v>9.6774193548387094E-2</v>
      </c>
      <c r="C755" s="25">
        <f>IF(C754=0,"",C754/C$1870)</f>
        <v>0.10714285714285714</v>
      </c>
      <c r="D755" s="25">
        <f>IF(D754=0,"",D754/D$1870)</f>
        <v>3.2258064516129031E-2</v>
      </c>
      <c r="E755" s="25">
        <f>IF(E754=0,"",E754/E$1870)</f>
        <v>0.16666666666666666</v>
      </c>
      <c r="F755" s="25" t="s">
        <v>44</v>
      </c>
      <c r="G755" s="25">
        <f t="shared" ref="G755:L755" si="772">IF(G754=0,"",G754/G$1870)</f>
        <v>0.16666666666666666</v>
      </c>
      <c r="H755" s="25">
        <f t="shared" si="772"/>
        <v>0.16129032258064516</v>
      </c>
      <c r="I755" s="25">
        <f t="shared" si="772"/>
        <v>9.6774193548387094E-2</v>
      </c>
      <c r="J755" s="25">
        <f t="shared" si="772"/>
        <v>0.16666666666666666</v>
      </c>
      <c r="K755" s="25">
        <f t="shared" si="772"/>
        <v>6.4516129032258063E-2</v>
      </c>
      <c r="L755" s="25">
        <f t="shared" si="772"/>
        <v>0.23333333333333334</v>
      </c>
      <c r="M755" s="25">
        <f t="shared" ref="M755" si="773">IF(M754=0,"",M754/M$1870)</f>
        <v>0.22580645161290322</v>
      </c>
      <c r="N755" s="144">
        <f>SUM(B755:M755)</f>
        <v>1.5178955453149001</v>
      </c>
      <c r="O755" s="25">
        <f>IF(N755=0,0,AVERAGE(B755:M755))</f>
        <v>0.13799050411953637</v>
      </c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s="9" customFormat="1" ht="15.75">
      <c r="A756" s="88"/>
      <c r="B756" s="89"/>
      <c r="C756" s="89"/>
      <c r="D756" s="89"/>
      <c r="E756" s="89"/>
      <c r="F756" s="89"/>
      <c r="G756" s="89"/>
      <c r="H756" s="89"/>
      <c r="I756" s="89"/>
      <c r="J756" s="89"/>
      <c r="K756" s="89"/>
      <c r="L756" s="89"/>
      <c r="M756" s="89"/>
      <c r="N756" s="167"/>
      <c r="O756" s="90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s="9" customFormat="1" ht="15.75">
      <c r="A757" s="66" t="s">
        <v>354</v>
      </c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49"/>
      <c r="O757" s="19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s="9" customFormat="1" ht="15.75">
      <c r="A758" s="37" t="s">
        <v>114</v>
      </c>
      <c r="B758" s="21">
        <v>2</v>
      </c>
      <c r="C758" s="21">
        <v>2</v>
      </c>
      <c r="D758" s="21">
        <v>2</v>
      </c>
      <c r="E758" s="21">
        <v>1</v>
      </c>
      <c r="F758" s="21">
        <v>2</v>
      </c>
      <c r="G758" s="21">
        <v>2</v>
      </c>
      <c r="H758" s="21">
        <v>0</v>
      </c>
      <c r="I758" s="21">
        <v>5</v>
      </c>
      <c r="J758" s="87">
        <v>2</v>
      </c>
      <c r="K758" s="21">
        <v>9</v>
      </c>
      <c r="L758" s="21">
        <v>7</v>
      </c>
      <c r="M758" s="21">
        <v>6</v>
      </c>
      <c r="N758" s="150">
        <f>SUM(B758:M758)</f>
        <v>40</v>
      </c>
      <c r="O758" s="22">
        <f>IF(N758=0,0,AVERAGE(B758:M758))</f>
        <v>3.3333333333333335</v>
      </c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s="9" customFormat="1" ht="15.75">
      <c r="A759" s="62" t="s">
        <v>21</v>
      </c>
      <c r="B759" s="24">
        <f t="shared" ref="B759:C759" si="774">SUM(B758)</f>
        <v>2</v>
      </c>
      <c r="C759" s="24">
        <f t="shared" si="774"/>
        <v>2</v>
      </c>
      <c r="D759" s="24">
        <f t="shared" ref="D759:E759" si="775">SUM(D758)</f>
        <v>2</v>
      </c>
      <c r="E759" s="24">
        <f t="shared" si="775"/>
        <v>1</v>
      </c>
      <c r="F759" s="24">
        <f t="shared" ref="F759:G759" si="776">SUM(F758)</f>
        <v>2</v>
      </c>
      <c r="G759" s="24">
        <f t="shared" si="776"/>
        <v>2</v>
      </c>
      <c r="H759" s="24">
        <f t="shared" ref="H759:I759" si="777">SUM(H758)</f>
        <v>0</v>
      </c>
      <c r="I759" s="24">
        <f t="shared" si="777"/>
        <v>5</v>
      </c>
      <c r="J759" s="24">
        <f t="shared" ref="J759:K759" si="778">SUM(J758)</f>
        <v>2</v>
      </c>
      <c r="K759" s="24">
        <f t="shared" si="778"/>
        <v>9</v>
      </c>
      <c r="L759" s="24">
        <f t="shared" ref="L759:M759" si="779">SUM(L758)</f>
        <v>7</v>
      </c>
      <c r="M759" s="24">
        <f t="shared" si="779"/>
        <v>6</v>
      </c>
      <c r="N759" s="144">
        <f>SUM(N758)</f>
        <v>40</v>
      </c>
      <c r="O759" s="25">
        <f>SUM(O758)</f>
        <v>3.3333333333333335</v>
      </c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s="9" customFormat="1" ht="15.75">
      <c r="A760" s="62" t="s">
        <v>112</v>
      </c>
      <c r="B760" s="25">
        <f t="shared" ref="B760:G760" si="780">IF(B759=0,"",B759/B$1870)</f>
        <v>6.4516129032258063E-2</v>
      </c>
      <c r="C760" s="25">
        <f t="shared" si="780"/>
        <v>7.1428571428571425E-2</v>
      </c>
      <c r="D760" s="25">
        <f t="shared" si="780"/>
        <v>6.4516129032258063E-2</v>
      </c>
      <c r="E760" s="25">
        <f t="shared" si="780"/>
        <v>3.3333333333333333E-2</v>
      </c>
      <c r="F760" s="25">
        <f t="shared" si="780"/>
        <v>6.4516129032258063E-2</v>
      </c>
      <c r="G760" s="25">
        <f t="shared" si="780"/>
        <v>6.6666666666666666E-2</v>
      </c>
      <c r="H760" s="25" t="s">
        <v>44</v>
      </c>
      <c r="I760" s="25">
        <f t="shared" ref="I760:K760" si="781">IF(I759=0,"",I759/I$1870)</f>
        <v>0.16129032258064516</v>
      </c>
      <c r="J760" s="25">
        <f t="shared" si="781"/>
        <v>6.6666666666666666E-2</v>
      </c>
      <c r="K760" s="25">
        <f t="shared" si="781"/>
        <v>0.29032258064516131</v>
      </c>
      <c r="L760" s="25">
        <f t="shared" ref="L760:M760" si="782">IF(L759=0,"",L759/L$1870)</f>
        <v>0.23333333333333334</v>
      </c>
      <c r="M760" s="25">
        <f t="shared" si="782"/>
        <v>0.19354838709677419</v>
      </c>
      <c r="N760" s="144">
        <f>SUM(B760:M760)</f>
        <v>1.3101382488479263</v>
      </c>
      <c r="O760" s="25">
        <f>IF(N760=0,0,AVERAGE(B760:M760))</f>
        <v>0.1191034771679933</v>
      </c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s="9" customFormat="1" ht="15.75">
      <c r="A761" s="88"/>
      <c r="B761" s="89"/>
      <c r="C761" s="89"/>
      <c r="D761" s="89"/>
      <c r="E761" s="89"/>
      <c r="F761" s="89"/>
      <c r="G761" s="89"/>
      <c r="H761" s="89"/>
      <c r="I761" s="89"/>
      <c r="J761" s="89"/>
      <c r="K761" s="89"/>
      <c r="L761" s="89"/>
      <c r="M761" s="89"/>
      <c r="N761" s="167"/>
      <c r="O761" s="90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s="9" customFormat="1" ht="15.75">
      <c r="A762" s="97" t="s">
        <v>153</v>
      </c>
      <c r="B762" s="92">
        <f t="shared" ref="B762:C762" si="783">B754</f>
        <v>3</v>
      </c>
      <c r="C762" s="92">
        <f t="shared" si="783"/>
        <v>3</v>
      </c>
      <c r="D762" s="92">
        <f t="shared" ref="D762:E762" si="784">D754</f>
        <v>1</v>
      </c>
      <c r="E762" s="92">
        <f t="shared" si="784"/>
        <v>5</v>
      </c>
      <c r="F762" s="92">
        <f t="shared" ref="F762:G762" si="785">F754</f>
        <v>0</v>
      </c>
      <c r="G762" s="92">
        <f t="shared" si="785"/>
        <v>5</v>
      </c>
      <c r="H762" s="92">
        <f t="shared" ref="H762:I762" si="786">H754</f>
        <v>5</v>
      </c>
      <c r="I762" s="92">
        <f t="shared" si="786"/>
        <v>3</v>
      </c>
      <c r="J762" s="92">
        <f t="shared" ref="J762:K762" si="787">J754</f>
        <v>5</v>
      </c>
      <c r="K762" s="92">
        <f t="shared" si="787"/>
        <v>2</v>
      </c>
      <c r="L762" s="92">
        <f t="shared" ref="L762:M762" si="788">L754</f>
        <v>7</v>
      </c>
      <c r="M762" s="92">
        <f t="shared" si="788"/>
        <v>7</v>
      </c>
      <c r="N762" s="150">
        <f>SUM(B762:M762)</f>
        <v>46</v>
      </c>
      <c r="O762" s="22">
        <f>IF(N762=0,0,AVERAGE(B762:M762))</f>
        <v>3.8333333333333335</v>
      </c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s="9" customFormat="1" ht="15.75">
      <c r="A763" s="97" t="s">
        <v>154</v>
      </c>
      <c r="B763" s="92">
        <f t="shared" ref="B763:C763" si="789">B759</f>
        <v>2</v>
      </c>
      <c r="C763" s="92">
        <f t="shared" si="789"/>
        <v>2</v>
      </c>
      <c r="D763" s="92">
        <f t="shared" ref="D763:E763" si="790">D759</f>
        <v>2</v>
      </c>
      <c r="E763" s="92">
        <f t="shared" si="790"/>
        <v>1</v>
      </c>
      <c r="F763" s="92">
        <f t="shared" ref="F763:G763" si="791">F759</f>
        <v>2</v>
      </c>
      <c r="G763" s="92">
        <f t="shared" si="791"/>
        <v>2</v>
      </c>
      <c r="H763" s="92">
        <f t="shared" ref="H763:I763" si="792">H759</f>
        <v>0</v>
      </c>
      <c r="I763" s="92">
        <f t="shared" si="792"/>
        <v>5</v>
      </c>
      <c r="J763" s="92">
        <f t="shared" ref="J763:K763" si="793">J759</f>
        <v>2</v>
      </c>
      <c r="K763" s="92">
        <f t="shared" si="793"/>
        <v>9</v>
      </c>
      <c r="L763" s="92">
        <f t="shared" ref="L763:M763" si="794">L759</f>
        <v>7</v>
      </c>
      <c r="M763" s="92">
        <f t="shared" si="794"/>
        <v>6</v>
      </c>
      <c r="N763" s="150">
        <f>SUM(B763:M763)</f>
        <v>40</v>
      </c>
      <c r="O763" s="22">
        <f>IF(N763=0,0,AVERAGE(B763:M763))</f>
        <v>3.3333333333333335</v>
      </c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s="9" customFormat="1" ht="15.75">
      <c r="A764" s="381" t="s">
        <v>155</v>
      </c>
      <c r="B764" s="372">
        <f t="shared" ref="B764:C764" si="795">SUM(B762:B763)</f>
        <v>5</v>
      </c>
      <c r="C764" s="372">
        <f t="shared" si="795"/>
        <v>5</v>
      </c>
      <c r="D764" s="372">
        <f t="shared" ref="D764:E764" si="796">SUM(D762:D763)</f>
        <v>3</v>
      </c>
      <c r="E764" s="372">
        <f t="shared" si="796"/>
        <v>6</v>
      </c>
      <c r="F764" s="372">
        <f t="shared" ref="F764:G764" si="797">SUM(F762:F763)</f>
        <v>2</v>
      </c>
      <c r="G764" s="372">
        <f t="shared" si="797"/>
        <v>7</v>
      </c>
      <c r="H764" s="372">
        <f t="shared" ref="H764:I764" si="798">SUM(H762:H763)</f>
        <v>5</v>
      </c>
      <c r="I764" s="372">
        <f t="shared" si="798"/>
        <v>8</v>
      </c>
      <c r="J764" s="372">
        <f t="shared" ref="J764:K764" si="799">SUM(J762:J763)</f>
        <v>7</v>
      </c>
      <c r="K764" s="372">
        <f t="shared" si="799"/>
        <v>11</v>
      </c>
      <c r="L764" s="372">
        <f t="shared" ref="L764:M764" si="800">SUM(L762:L763)</f>
        <v>14</v>
      </c>
      <c r="M764" s="372">
        <f t="shared" si="800"/>
        <v>13</v>
      </c>
      <c r="N764" s="373">
        <f>SUM(N762:N763)</f>
        <v>86</v>
      </c>
      <c r="O764" s="374">
        <f>SUM(O762:O763)</f>
        <v>7.166666666666667</v>
      </c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s="9" customFormat="1" ht="15.75">
      <c r="A765" s="88"/>
      <c r="B765" s="89"/>
      <c r="C765" s="89"/>
      <c r="D765" s="89"/>
      <c r="E765" s="89"/>
      <c r="F765" s="89"/>
      <c r="G765" s="89"/>
      <c r="H765" s="89"/>
      <c r="I765" s="89"/>
      <c r="J765" s="89"/>
      <c r="K765" s="89"/>
      <c r="L765" s="89"/>
      <c r="M765" s="89"/>
      <c r="N765" s="167"/>
      <c r="O765" s="90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s="9" customFormat="1" ht="15.75">
      <c r="A766" s="98" t="s">
        <v>760</v>
      </c>
      <c r="B766" s="99"/>
      <c r="C766" s="99"/>
      <c r="D766" s="99"/>
      <c r="E766" s="99"/>
      <c r="F766" s="99"/>
      <c r="G766" s="99"/>
      <c r="H766" s="99"/>
      <c r="I766" s="99"/>
      <c r="J766" s="99"/>
      <c r="K766" s="99"/>
      <c r="L766" s="99"/>
      <c r="M766" s="99"/>
      <c r="N766" s="169"/>
      <c r="O766" s="100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s="9" customFormat="1" ht="15.75">
      <c r="A767" s="66" t="s">
        <v>596</v>
      </c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49"/>
      <c r="O767" s="19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s="9" customFormat="1" ht="15.75">
      <c r="A768" s="40" t="s">
        <v>18</v>
      </c>
      <c r="B768" s="21">
        <v>0</v>
      </c>
      <c r="C768" s="21">
        <v>0</v>
      </c>
      <c r="D768" s="21">
        <v>0</v>
      </c>
      <c r="E768" s="21">
        <v>0</v>
      </c>
      <c r="F768" s="21">
        <v>0</v>
      </c>
      <c r="G768" s="21">
        <v>0</v>
      </c>
      <c r="H768" s="21">
        <v>0</v>
      </c>
      <c r="I768" s="21">
        <v>0</v>
      </c>
      <c r="J768" s="87">
        <v>0</v>
      </c>
      <c r="K768" s="87">
        <v>0</v>
      </c>
      <c r="L768" s="87">
        <v>0</v>
      </c>
      <c r="M768" s="87">
        <v>0</v>
      </c>
      <c r="N768" s="150">
        <f>SUM(B768:M768)</f>
        <v>0</v>
      </c>
      <c r="O768" s="22">
        <f>IF(N768=0,0,AVERAGE(B768:M768))</f>
        <v>0</v>
      </c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s="9" customFormat="1" ht="15.75">
      <c r="A769" s="40" t="s">
        <v>19</v>
      </c>
      <c r="B769" s="21">
        <v>0</v>
      </c>
      <c r="C769" s="21">
        <v>0</v>
      </c>
      <c r="D769" s="21">
        <v>0</v>
      </c>
      <c r="E769" s="21">
        <v>0</v>
      </c>
      <c r="F769" s="21">
        <v>0</v>
      </c>
      <c r="G769" s="21">
        <v>0</v>
      </c>
      <c r="H769" s="21">
        <v>0</v>
      </c>
      <c r="I769" s="21">
        <v>0</v>
      </c>
      <c r="J769" s="87">
        <v>0</v>
      </c>
      <c r="K769" s="87">
        <v>0</v>
      </c>
      <c r="L769" s="87">
        <v>0</v>
      </c>
      <c r="M769" s="87">
        <v>0</v>
      </c>
      <c r="N769" s="150">
        <f>SUM(B769:M769)</f>
        <v>0</v>
      </c>
      <c r="O769" s="22">
        <f>IF(N769=0,0,AVERAGE(B769:M769))</f>
        <v>0</v>
      </c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s="9" customFormat="1" ht="15.75">
      <c r="A770" s="40" t="s">
        <v>20</v>
      </c>
      <c r="B770" s="21">
        <v>0</v>
      </c>
      <c r="C770" s="21">
        <v>0</v>
      </c>
      <c r="D770" s="21">
        <v>0</v>
      </c>
      <c r="E770" s="21">
        <v>0</v>
      </c>
      <c r="F770" s="21">
        <v>0</v>
      </c>
      <c r="G770" s="21">
        <v>0</v>
      </c>
      <c r="H770" s="21">
        <v>0</v>
      </c>
      <c r="I770" s="21">
        <v>0</v>
      </c>
      <c r="J770" s="87">
        <v>0</v>
      </c>
      <c r="K770" s="87">
        <v>0</v>
      </c>
      <c r="L770" s="87">
        <v>0</v>
      </c>
      <c r="M770" s="87">
        <v>0</v>
      </c>
      <c r="N770" s="150">
        <f>SUM(B770:M770)</f>
        <v>0</v>
      </c>
      <c r="O770" s="22">
        <f>IF(N770=0,0,AVERAGE(B770:M770))</f>
        <v>0</v>
      </c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s="9" customFormat="1" ht="15.75">
      <c r="A771" s="62" t="s">
        <v>21</v>
      </c>
      <c r="B771" s="24">
        <f t="shared" ref="B771:C771" si="801">SUM(B768:B770)</f>
        <v>0</v>
      </c>
      <c r="C771" s="24">
        <f t="shared" si="801"/>
        <v>0</v>
      </c>
      <c r="D771" s="24">
        <f t="shared" ref="D771:E771" si="802">SUM(D768:D770)</f>
        <v>0</v>
      </c>
      <c r="E771" s="24">
        <f t="shared" si="802"/>
        <v>0</v>
      </c>
      <c r="F771" s="24">
        <f t="shared" ref="F771:G771" si="803">SUM(F768:F770)</f>
        <v>0</v>
      </c>
      <c r="G771" s="24">
        <f t="shared" si="803"/>
        <v>0</v>
      </c>
      <c r="H771" s="24">
        <f t="shared" ref="H771:I771" si="804">SUM(H768:H770)</f>
        <v>0</v>
      </c>
      <c r="I771" s="24">
        <f t="shared" si="804"/>
        <v>0</v>
      </c>
      <c r="J771" s="24">
        <f t="shared" ref="J771:K771" si="805">SUM(J768:J770)</f>
        <v>0</v>
      </c>
      <c r="K771" s="24">
        <f t="shared" si="805"/>
        <v>0</v>
      </c>
      <c r="L771" s="24">
        <f t="shared" ref="L771:M771" si="806">SUM(L768:L770)</f>
        <v>0</v>
      </c>
      <c r="M771" s="24">
        <f t="shared" si="806"/>
        <v>0</v>
      </c>
      <c r="N771" s="144">
        <f>SUM(N768:N770)</f>
        <v>0</v>
      </c>
      <c r="O771" s="25">
        <f>SUM(O768:O770)</f>
        <v>0</v>
      </c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s="9" customFormat="1" ht="15.75">
      <c r="A772" s="62" t="s">
        <v>112</v>
      </c>
      <c r="B772" s="25" t="s">
        <v>44</v>
      </c>
      <c r="C772" s="25" t="s">
        <v>44</v>
      </c>
      <c r="D772" s="25" t="s">
        <v>44</v>
      </c>
      <c r="E772" s="25" t="s">
        <v>44</v>
      </c>
      <c r="F772" s="25" t="s">
        <v>44</v>
      </c>
      <c r="G772" s="25" t="s">
        <v>44</v>
      </c>
      <c r="H772" s="25" t="s">
        <v>44</v>
      </c>
      <c r="I772" s="25" t="s">
        <v>44</v>
      </c>
      <c r="J772" s="25" t="s">
        <v>44</v>
      </c>
      <c r="K772" s="25" t="s">
        <v>44</v>
      </c>
      <c r="L772" s="25" t="s">
        <v>44</v>
      </c>
      <c r="M772" s="25" t="s">
        <v>44</v>
      </c>
      <c r="N772" s="144">
        <f>SUM(B772:M772)</f>
        <v>0</v>
      </c>
      <c r="O772" s="25">
        <f>IF(N772=0,0,AVERAGE(B772:M772))</f>
        <v>0</v>
      </c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s="9" customFormat="1" ht="15.75">
      <c r="A773" s="88"/>
      <c r="B773" s="89"/>
      <c r="C773" s="89"/>
      <c r="D773" s="89"/>
      <c r="E773" s="89"/>
      <c r="F773" s="89"/>
      <c r="G773" s="89"/>
      <c r="H773" s="89"/>
      <c r="I773" s="89"/>
      <c r="J773" s="89"/>
      <c r="K773" s="89"/>
      <c r="L773" s="89"/>
      <c r="M773" s="89"/>
      <c r="N773" s="167"/>
      <c r="O773" s="90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s="9" customFormat="1" ht="15.75">
      <c r="A774" s="66" t="s">
        <v>597</v>
      </c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49"/>
      <c r="O774" s="19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s="9" customFormat="1" ht="15.75">
      <c r="A775" s="37" t="s">
        <v>114</v>
      </c>
      <c r="B775" s="21">
        <v>40</v>
      </c>
      <c r="C775" s="21">
        <v>35</v>
      </c>
      <c r="D775" s="21">
        <v>33</v>
      </c>
      <c r="E775" s="21">
        <v>0</v>
      </c>
      <c r="F775" s="21">
        <v>0</v>
      </c>
      <c r="G775" s="21">
        <v>35</v>
      </c>
      <c r="H775" s="21">
        <v>40</v>
      </c>
      <c r="I775" s="21">
        <v>36</v>
      </c>
      <c r="J775" s="87">
        <v>37</v>
      </c>
      <c r="K775" s="21">
        <v>0</v>
      </c>
      <c r="L775" s="21">
        <v>0</v>
      </c>
      <c r="M775" s="21">
        <v>0</v>
      </c>
      <c r="N775" s="150">
        <f>SUM(B775:M775)</f>
        <v>256</v>
      </c>
      <c r="O775" s="22">
        <f>IF(N775=0,0,AVERAGE(B775:M775))</f>
        <v>21.333333333333332</v>
      </c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s="9" customFormat="1" ht="15.75">
      <c r="A776" s="62" t="s">
        <v>21</v>
      </c>
      <c r="B776" s="24">
        <f t="shared" ref="B776:C776" si="807">SUM(B775)</f>
        <v>40</v>
      </c>
      <c r="C776" s="24">
        <f t="shared" si="807"/>
        <v>35</v>
      </c>
      <c r="D776" s="24">
        <f t="shared" ref="D776:E776" si="808">SUM(D775)</f>
        <v>33</v>
      </c>
      <c r="E776" s="24">
        <f t="shared" si="808"/>
        <v>0</v>
      </c>
      <c r="F776" s="24">
        <f t="shared" ref="F776:G776" si="809">SUM(F775)</f>
        <v>0</v>
      </c>
      <c r="G776" s="24">
        <f t="shared" si="809"/>
        <v>35</v>
      </c>
      <c r="H776" s="24">
        <f t="shared" ref="H776:I776" si="810">SUM(H775)</f>
        <v>40</v>
      </c>
      <c r="I776" s="24">
        <f t="shared" si="810"/>
        <v>36</v>
      </c>
      <c r="J776" s="24">
        <f t="shared" ref="J776:K776" si="811">SUM(J775)</f>
        <v>37</v>
      </c>
      <c r="K776" s="24">
        <f t="shared" si="811"/>
        <v>0</v>
      </c>
      <c r="L776" s="24">
        <f t="shared" ref="L776:M776" si="812">SUM(L775)</f>
        <v>0</v>
      </c>
      <c r="M776" s="24">
        <f t="shared" si="812"/>
        <v>0</v>
      </c>
      <c r="N776" s="144">
        <f>SUM(N775)</f>
        <v>256</v>
      </c>
      <c r="O776" s="25">
        <f>SUM(O775)</f>
        <v>21.333333333333332</v>
      </c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s="9" customFormat="1" ht="15.75">
      <c r="A777" s="62" t="s">
        <v>112</v>
      </c>
      <c r="B777" s="25">
        <f>IF(B776=0,"",B776/B$1870)</f>
        <v>1.2903225806451613</v>
      </c>
      <c r="C777" s="25">
        <f>IF(C776=0,"",C776/C$1870)</f>
        <v>1.25</v>
      </c>
      <c r="D777" s="25">
        <f>IF(D776=0,"",D776/D$1870)</f>
        <v>1.064516129032258</v>
      </c>
      <c r="E777" s="25" t="s">
        <v>44</v>
      </c>
      <c r="F777" s="25" t="s">
        <v>44</v>
      </c>
      <c r="G777" s="25">
        <f t="shared" ref="G777:L777" si="813">IF(G776=0,"",G776/G$1870)</f>
        <v>1.1666666666666667</v>
      </c>
      <c r="H777" s="25">
        <f t="shared" si="813"/>
        <v>1.2903225806451613</v>
      </c>
      <c r="I777" s="25">
        <f t="shared" si="813"/>
        <v>1.1612903225806452</v>
      </c>
      <c r="J777" s="25">
        <f t="shared" si="813"/>
        <v>1.2333333333333334</v>
      </c>
      <c r="K777" s="25" t="str">
        <f t="shared" si="813"/>
        <v/>
      </c>
      <c r="L777" s="25" t="str">
        <f t="shared" si="813"/>
        <v/>
      </c>
      <c r="M777" s="25" t="str">
        <f t="shared" ref="M777" si="814">IF(M776=0,"",M776/M$1870)</f>
        <v/>
      </c>
      <c r="N777" s="144">
        <f>SUM(B777:M777)</f>
        <v>8.4564516129032263</v>
      </c>
      <c r="O777" s="25">
        <f>IF(N777=0,0,AVERAGE(B777:M777))</f>
        <v>1.2080645161290324</v>
      </c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s="9" customFormat="1" ht="15.75">
      <c r="A778" s="88"/>
      <c r="B778" s="89"/>
      <c r="C778" s="89"/>
      <c r="D778" s="89"/>
      <c r="E778" s="89"/>
      <c r="F778" s="89"/>
      <c r="G778" s="89"/>
      <c r="H778" s="89"/>
      <c r="I778" s="89"/>
      <c r="J778" s="89"/>
      <c r="K778" s="89"/>
      <c r="L778" s="89"/>
      <c r="M778" s="89"/>
      <c r="N778" s="167"/>
      <c r="O778" s="90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s="9" customFormat="1" ht="15.75">
      <c r="A779" s="97" t="s">
        <v>153</v>
      </c>
      <c r="B779" s="92">
        <f t="shared" ref="B779:C779" si="815">B771</f>
        <v>0</v>
      </c>
      <c r="C779" s="92">
        <f t="shared" si="815"/>
        <v>0</v>
      </c>
      <c r="D779" s="92">
        <f t="shared" ref="D779:E779" si="816">D771</f>
        <v>0</v>
      </c>
      <c r="E779" s="92">
        <f t="shared" si="816"/>
        <v>0</v>
      </c>
      <c r="F779" s="92">
        <f t="shared" ref="F779:G779" si="817">F771</f>
        <v>0</v>
      </c>
      <c r="G779" s="92">
        <f t="shared" si="817"/>
        <v>0</v>
      </c>
      <c r="H779" s="92">
        <f t="shared" ref="H779:I779" si="818">H771</f>
        <v>0</v>
      </c>
      <c r="I779" s="92">
        <f t="shared" si="818"/>
        <v>0</v>
      </c>
      <c r="J779" s="92">
        <f t="shared" ref="J779:K779" si="819">J771</f>
        <v>0</v>
      </c>
      <c r="K779" s="92">
        <f t="shared" si="819"/>
        <v>0</v>
      </c>
      <c r="L779" s="92">
        <f t="shared" ref="L779:M779" si="820">L771</f>
        <v>0</v>
      </c>
      <c r="M779" s="92">
        <f t="shared" si="820"/>
        <v>0</v>
      </c>
      <c r="N779" s="150">
        <f>SUM(B779:M779)</f>
        <v>0</v>
      </c>
      <c r="O779" s="22">
        <f>IF(N779=0,0,AVERAGE(B779:M779))</f>
        <v>0</v>
      </c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s="9" customFormat="1" ht="15.75">
      <c r="A780" s="97" t="s">
        <v>154</v>
      </c>
      <c r="B780" s="92">
        <f t="shared" ref="B780:C780" si="821">B776</f>
        <v>40</v>
      </c>
      <c r="C780" s="92">
        <f t="shared" si="821"/>
        <v>35</v>
      </c>
      <c r="D780" s="92">
        <f t="shared" ref="D780:E780" si="822">D776</f>
        <v>33</v>
      </c>
      <c r="E780" s="92">
        <f t="shared" si="822"/>
        <v>0</v>
      </c>
      <c r="F780" s="92">
        <f t="shared" ref="F780:G780" si="823">F776</f>
        <v>0</v>
      </c>
      <c r="G780" s="92">
        <f t="shared" si="823"/>
        <v>35</v>
      </c>
      <c r="H780" s="92">
        <f t="shared" ref="H780:I780" si="824">H776</f>
        <v>40</v>
      </c>
      <c r="I780" s="92">
        <f t="shared" si="824"/>
        <v>36</v>
      </c>
      <c r="J780" s="92">
        <f t="shared" ref="J780:K780" si="825">J776</f>
        <v>37</v>
      </c>
      <c r="K780" s="92">
        <f t="shared" si="825"/>
        <v>0</v>
      </c>
      <c r="L780" s="92">
        <f t="shared" ref="L780:M780" si="826">L776</f>
        <v>0</v>
      </c>
      <c r="M780" s="92">
        <f t="shared" si="826"/>
        <v>0</v>
      </c>
      <c r="N780" s="150">
        <f>SUM(B780:M780)</f>
        <v>256</v>
      </c>
      <c r="O780" s="22">
        <f>IF(N780=0,0,AVERAGE(B780:M780))</f>
        <v>21.333333333333332</v>
      </c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s="9" customFormat="1" ht="15.75">
      <c r="A781" s="381" t="s">
        <v>155</v>
      </c>
      <c r="B781" s="372">
        <f t="shared" ref="B781:C781" si="827">SUM(B779:B780)</f>
        <v>40</v>
      </c>
      <c r="C781" s="372">
        <f t="shared" si="827"/>
        <v>35</v>
      </c>
      <c r="D781" s="372">
        <f t="shared" ref="D781:E781" si="828">SUM(D779:D780)</f>
        <v>33</v>
      </c>
      <c r="E781" s="372">
        <f t="shared" si="828"/>
        <v>0</v>
      </c>
      <c r="F781" s="372">
        <f t="shared" ref="F781:G781" si="829">SUM(F779:F780)</f>
        <v>0</v>
      </c>
      <c r="G781" s="372">
        <f t="shared" si="829"/>
        <v>35</v>
      </c>
      <c r="H781" s="372">
        <f t="shared" ref="H781:I781" si="830">SUM(H779:H780)</f>
        <v>40</v>
      </c>
      <c r="I781" s="372">
        <f t="shared" si="830"/>
        <v>36</v>
      </c>
      <c r="J781" s="372">
        <f t="shared" ref="J781:K781" si="831">SUM(J779:J780)</f>
        <v>37</v>
      </c>
      <c r="K781" s="372">
        <f t="shared" si="831"/>
        <v>0</v>
      </c>
      <c r="L781" s="372">
        <f t="shared" ref="L781:M781" si="832">SUM(L779:L780)</f>
        <v>0</v>
      </c>
      <c r="M781" s="372">
        <f t="shared" si="832"/>
        <v>0</v>
      </c>
      <c r="N781" s="373">
        <f>SUM(N779:N780)</f>
        <v>256</v>
      </c>
      <c r="O781" s="374">
        <f>SUM(O779:O780)</f>
        <v>21.333333333333332</v>
      </c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s="9" customFormat="1" ht="15.75">
      <c r="A782" s="88"/>
      <c r="B782" s="89"/>
      <c r="C782" s="89"/>
      <c r="D782" s="89"/>
      <c r="E782" s="89"/>
      <c r="F782" s="89"/>
      <c r="G782" s="89"/>
      <c r="H782" s="89"/>
      <c r="I782" s="89"/>
      <c r="J782" s="89"/>
      <c r="K782" s="89"/>
      <c r="L782" s="89"/>
      <c r="M782" s="89"/>
      <c r="N782" s="167"/>
      <c r="O782" s="90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s="9" customFormat="1" ht="15.75">
      <c r="A783" s="98" t="s">
        <v>761</v>
      </c>
      <c r="B783" s="99"/>
      <c r="C783" s="99"/>
      <c r="D783" s="99"/>
      <c r="E783" s="99"/>
      <c r="F783" s="99"/>
      <c r="G783" s="99"/>
      <c r="H783" s="99"/>
      <c r="I783" s="99"/>
      <c r="J783" s="99"/>
      <c r="K783" s="99"/>
      <c r="L783" s="99"/>
      <c r="M783" s="99"/>
      <c r="N783" s="169"/>
      <c r="O783" s="100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s="9" customFormat="1" ht="15.75">
      <c r="A784" s="66" t="s">
        <v>762</v>
      </c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49"/>
      <c r="O784" s="19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s="9" customFormat="1" ht="15.75">
      <c r="A785" s="40" t="s">
        <v>18</v>
      </c>
      <c r="B785" s="21">
        <v>0</v>
      </c>
      <c r="C785" s="21">
        <v>1</v>
      </c>
      <c r="D785" s="21">
        <v>0</v>
      </c>
      <c r="E785" s="21">
        <v>0</v>
      </c>
      <c r="F785" s="21">
        <v>2</v>
      </c>
      <c r="G785" s="21">
        <v>1</v>
      </c>
      <c r="H785" s="21">
        <v>0</v>
      </c>
      <c r="I785" s="21">
        <v>1</v>
      </c>
      <c r="J785" s="21">
        <v>1</v>
      </c>
      <c r="K785" s="21">
        <v>0</v>
      </c>
      <c r="L785" s="21">
        <v>0</v>
      </c>
      <c r="M785" s="21">
        <v>0</v>
      </c>
      <c r="N785" s="150">
        <f>SUM(B785:M785)</f>
        <v>6</v>
      </c>
      <c r="O785" s="22">
        <f>IF(N785=0,0,AVERAGE(B785:M785))</f>
        <v>0.5</v>
      </c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s="9" customFormat="1" ht="15.75">
      <c r="A786" s="40" t="s">
        <v>19</v>
      </c>
      <c r="B786" s="21">
        <v>23</v>
      </c>
      <c r="C786" s="21">
        <v>15</v>
      </c>
      <c r="D786" s="21">
        <v>18</v>
      </c>
      <c r="E786" s="21">
        <v>8</v>
      </c>
      <c r="F786" s="21">
        <v>9</v>
      </c>
      <c r="G786" s="21">
        <v>11</v>
      </c>
      <c r="H786" s="21">
        <v>0</v>
      </c>
      <c r="I786" s="21">
        <v>16</v>
      </c>
      <c r="J786" s="21">
        <v>13</v>
      </c>
      <c r="K786" s="21">
        <v>12</v>
      </c>
      <c r="L786" s="21">
        <v>4</v>
      </c>
      <c r="M786" s="21">
        <v>0</v>
      </c>
      <c r="N786" s="150">
        <f>SUM(B786:M786)</f>
        <v>129</v>
      </c>
      <c r="O786" s="22">
        <f>IF(N786=0,0,AVERAGE(B786:M786))</f>
        <v>10.75</v>
      </c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s="9" customFormat="1" ht="15.75">
      <c r="A787" s="40" t="s">
        <v>20</v>
      </c>
      <c r="B787" s="21">
        <v>9</v>
      </c>
      <c r="C787" s="21">
        <v>5</v>
      </c>
      <c r="D787" s="21">
        <v>6</v>
      </c>
      <c r="E787" s="21">
        <v>3</v>
      </c>
      <c r="F787" s="21">
        <v>6</v>
      </c>
      <c r="G787" s="21">
        <v>2</v>
      </c>
      <c r="H787" s="21">
        <v>0</v>
      </c>
      <c r="I787" s="21">
        <v>3</v>
      </c>
      <c r="J787" s="21">
        <v>4</v>
      </c>
      <c r="K787" s="21">
        <v>4</v>
      </c>
      <c r="L787" s="21">
        <v>0</v>
      </c>
      <c r="M787" s="21">
        <v>0</v>
      </c>
      <c r="N787" s="150">
        <f>SUM(B787:M787)</f>
        <v>42</v>
      </c>
      <c r="O787" s="22">
        <f>IF(N787=0,0,AVERAGE(B787:M787))</f>
        <v>3.5</v>
      </c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s="9" customFormat="1" ht="15.75">
      <c r="A788" s="62" t="s">
        <v>21</v>
      </c>
      <c r="B788" s="24">
        <f t="shared" ref="B788:C788" si="833">SUM(B785:B787)</f>
        <v>32</v>
      </c>
      <c r="C788" s="24">
        <f t="shared" si="833"/>
        <v>21</v>
      </c>
      <c r="D788" s="24">
        <f t="shared" ref="D788:E788" si="834">SUM(D785:D787)</f>
        <v>24</v>
      </c>
      <c r="E788" s="24">
        <f t="shared" si="834"/>
        <v>11</v>
      </c>
      <c r="F788" s="24">
        <f t="shared" ref="F788:G788" si="835">SUM(F785:F787)</f>
        <v>17</v>
      </c>
      <c r="G788" s="24">
        <f t="shared" si="835"/>
        <v>14</v>
      </c>
      <c r="H788" s="24">
        <f t="shared" ref="H788:I788" si="836">SUM(H785:H787)</f>
        <v>0</v>
      </c>
      <c r="I788" s="24">
        <f t="shared" si="836"/>
        <v>20</v>
      </c>
      <c r="J788" s="24">
        <f t="shared" ref="J788:K788" si="837">SUM(J785:J787)</f>
        <v>18</v>
      </c>
      <c r="K788" s="24">
        <f t="shared" si="837"/>
        <v>16</v>
      </c>
      <c r="L788" s="24">
        <f t="shared" ref="L788:M788" si="838">SUM(L785:L787)</f>
        <v>4</v>
      </c>
      <c r="M788" s="24">
        <f t="shared" si="838"/>
        <v>0</v>
      </c>
      <c r="N788" s="144">
        <f>SUM(N785:N787)</f>
        <v>177</v>
      </c>
      <c r="O788" s="25">
        <f>SUM(O785:O787)</f>
        <v>14.75</v>
      </c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s="9" customFormat="1" ht="15.75">
      <c r="A789" s="62" t="s">
        <v>112</v>
      </c>
      <c r="B789" s="25">
        <f t="shared" ref="B789:G789" si="839">IF(B788=0,"",B788/B$1870)</f>
        <v>1.032258064516129</v>
      </c>
      <c r="C789" s="25">
        <f t="shared" si="839"/>
        <v>0.75</v>
      </c>
      <c r="D789" s="25">
        <f t="shared" si="839"/>
        <v>0.77419354838709675</v>
      </c>
      <c r="E789" s="25">
        <f t="shared" si="839"/>
        <v>0.36666666666666664</v>
      </c>
      <c r="F789" s="25">
        <f t="shared" si="839"/>
        <v>0.54838709677419351</v>
      </c>
      <c r="G789" s="25">
        <f t="shared" si="839"/>
        <v>0.46666666666666667</v>
      </c>
      <c r="H789" s="25" t="s">
        <v>44</v>
      </c>
      <c r="I789" s="25">
        <f t="shared" ref="I789:K789" si="840">IF(I788=0,"",I788/I$1870)</f>
        <v>0.64516129032258063</v>
      </c>
      <c r="J789" s="25">
        <f t="shared" si="840"/>
        <v>0.6</v>
      </c>
      <c r="K789" s="25">
        <f t="shared" si="840"/>
        <v>0.5161290322580645</v>
      </c>
      <c r="L789" s="25">
        <f t="shared" ref="L789" si="841">IF(L788=0,"",L788/L$1870)</f>
        <v>0.13333333333333333</v>
      </c>
      <c r="M789" s="25" t="s">
        <v>44</v>
      </c>
      <c r="N789" s="144">
        <f>SUM(B789:M789)</f>
        <v>5.8327956989247314</v>
      </c>
      <c r="O789" s="25">
        <f>IF(N789=0,0,AVERAGE(B789:M789))</f>
        <v>0.58327956989247309</v>
      </c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s="9" customFormat="1" ht="15.75">
      <c r="A790" s="88"/>
      <c r="B790" s="89"/>
      <c r="C790" s="89"/>
      <c r="D790" s="89"/>
      <c r="E790" s="89"/>
      <c r="F790" s="89"/>
      <c r="G790" s="89"/>
      <c r="H790" s="89"/>
      <c r="I790" s="89"/>
      <c r="J790" s="89"/>
      <c r="K790" s="89"/>
      <c r="L790" s="89"/>
      <c r="M790" s="89"/>
      <c r="N790" s="167"/>
      <c r="O790" s="90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s="9" customFormat="1" ht="15.75">
      <c r="A791" s="66" t="s">
        <v>763</v>
      </c>
      <c r="B791" s="18"/>
      <c r="C791" s="18" t="s">
        <v>732</v>
      </c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49"/>
      <c r="O791" s="19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s="9" customFormat="1" ht="15.75">
      <c r="A792" s="37" t="s">
        <v>114</v>
      </c>
      <c r="B792" s="21">
        <v>57</v>
      </c>
      <c r="C792" s="21">
        <v>54</v>
      </c>
      <c r="D792" s="21">
        <v>46</v>
      </c>
      <c r="E792" s="21">
        <v>18</v>
      </c>
      <c r="F792" s="21">
        <v>35</v>
      </c>
      <c r="G792" s="21">
        <v>27</v>
      </c>
      <c r="H792" s="21">
        <v>0</v>
      </c>
      <c r="I792" s="21">
        <v>63</v>
      </c>
      <c r="J792" s="21">
        <v>80</v>
      </c>
      <c r="K792" s="21">
        <v>82</v>
      </c>
      <c r="L792" s="21">
        <v>0</v>
      </c>
      <c r="M792" s="21">
        <v>0</v>
      </c>
      <c r="N792" s="150">
        <f>SUM(B792:M792)</f>
        <v>462</v>
      </c>
      <c r="O792" s="22">
        <f>IF(N792=0,0,AVERAGE(B792:M792))</f>
        <v>38.5</v>
      </c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s="9" customFormat="1" ht="15.75">
      <c r="A793" s="62" t="s">
        <v>21</v>
      </c>
      <c r="B793" s="24">
        <f t="shared" ref="B793:C793" si="842">SUM(B792)</f>
        <v>57</v>
      </c>
      <c r="C793" s="24">
        <f t="shared" si="842"/>
        <v>54</v>
      </c>
      <c r="D793" s="24">
        <f t="shared" ref="D793:E793" si="843">SUM(D792)</f>
        <v>46</v>
      </c>
      <c r="E793" s="24">
        <f t="shared" si="843"/>
        <v>18</v>
      </c>
      <c r="F793" s="24">
        <f t="shared" ref="F793:G793" si="844">SUM(F792)</f>
        <v>35</v>
      </c>
      <c r="G793" s="24">
        <f t="shared" si="844"/>
        <v>27</v>
      </c>
      <c r="H793" s="24">
        <f t="shared" ref="H793:I793" si="845">SUM(H792)</f>
        <v>0</v>
      </c>
      <c r="I793" s="24">
        <f t="shared" si="845"/>
        <v>63</v>
      </c>
      <c r="J793" s="24">
        <f t="shared" ref="J793:K793" si="846">SUM(J792)</f>
        <v>80</v>
      </c>
      <c r="K793" s="24">
        <f t="shared" si="846"/>
        <v>82</v>
      </c>
      <c r="L793" s="24">
        <f t="shared" ref="L793:M793" si="847">SUM(L792)</f>
        <v>0</v>
      </c>
      <c r="M793" s="24">
        <f t="shared" si="847"/>
        <v>0</v>
      </c>
      <c r="N793" s="144">
        <f>SUM(N792)</f>
        <v>462</v>
      </c>
      <c r="O793" s="25">
        <f>SUM(O792)</f>
        <v>38.5</v>
      </c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s="9" customFormat="1" ht="15.75">
      <c r="A794" s="62" t="s">
        <v>112</v>
      </c>
      <c r="B794" s="25">
        <f t="shared" ref="B794:G794" si="848">IF(B793=0,"",B793/B$1870)</f>
        <v>1.8387096774193548</v>
      </c>
      <c r="C794" s="25">
        <f t="shared" si="848"/>
        <v>1.9285714285714286</v>
      </c>
      <c r="D794" s="25">
        <f t="shared" si="848"/>
        <v>1.4838709677419355</v>
      </c>
      <c r="E794" s="25">
        <f t="shared" si="848"/>
        <v>0.6</v>
      </c>
      <c r="F794" s="25">
        <f t="shared" si="848"/>
        <v>1.1290322580645162</v>
      </c>
      <c r="G794" s="25">
        <f t="shared" si="848"/>
        <v>0.9</v>
      </c>
      <c r="H794" s="25" t="s">
        <v>44</v>
      </c>
      <c r="I794" s="25">
        <f t="shared" ref="I794:K794" si="849">IF(I793=0,"",I793/I$1870)</f>
        <v>2.032258064516129</v>
      </c>
      <c r="J794" s="25">
        <f t="shared" si="849"/>
        <v>2.6666666666666665</v>
      </c>
      <c r="K794" s="25">
        <f t="shared" si="849"/>
        <v>2.6451612903225805</v>
      </c>
      <c r="L794" s="25" t="s">
        <v>44</v>
      </c>
      <c r="M794" s="25" t="s">
        <v>44</v>
      </c>
      <c r="N794" s="144">
        <f>SUM(B794:M794)</f>
        <v>15.224270353302609</v>
      </c>
      <c r="O794" s="25">
        <f>IF(N794=0,0,AVERAGE(B794:M794))</f>
        <v>1.6915855948114009</v>
      </c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s="9" customFormat="1" ht="15.75">
      <c r="A795" s="88"/>
      <c r="B795" s="89"/>
      <c r="C795" s="89"/>
      <c r="D795" s="89"/>
      <c r="E795" s="89"/>
      <c r="F795" s="89"/>
      <c r="G795" s="89"/>
      <c r="H795" s="89"/>
      <c r="I795" s="89"/>
      <c r="J795" s="89"/>
      <c r="K795" s="89"/>
      <c r="L795" s="89"/>
      <c r="M795" s="89"/>
      <c r="N795" s="167"/>
      <c r="O795" s="90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s="9" customFormat="1" ht="15.75">
      <c r="A796" s="97" t="s">
        <v>153</v>
      </c>
      <c r="B796" s="92">
        <f t="shared" ref="B796:C796" si="850">B788</f>
        <v>32</v>
      </c>
      <c r="C796" s="92">
        <f t="shared" si="850"/>
        <v>21</v>
      </c>
      <c r="D796" s="92">
        <f t="shared" ref="D796:E796" si="851">D788</f>
        <v>24</v>
      </c>
      <c r="E796" s="92">
        <f t="shared" si="851"/>
        <v>11</v>
      </c>
      <c r="F796" s="92">
        <f t="shared" ref="F796:G796" si="852">F788</f>
        <v>17</v>
      </c>
      <c r="G796" s="92">
        <f t="shared" si="852"/>
        <v>14</v>
      </c>
      <c r="H796" s="92">
        <f t="shared" ref="H796:I796" si="853">H788</f>
        <v>0</v>
      </c>
      <c r="I796" s="92">
        <f t="shared" si="853"/>
        <v>20</v>
      </c>
      <c r="J796" s="92">
        <f t="shared" ref="J796:K796" si="854">J788</f>
        <v>18</v>
      </c>
      <c r="K796" s="92">
        <f t="shared" si="854"/>
        <v>16</v>
      </c>
      <c r="L796" s="92">
        <f t="shared" ref="L796:M796" si="855">L788</f>
        <v>4</v>
      </c>
      <c r="M796" s="92">
        <f t="shared" si="855"/>
        <v>0</v>
      </c>
      <c r="N796" s="150">
        <f>SUM(B796:M796)</f>
        <v>177</v>
      </c>
      <c r="O796" s="22">
        <f>IF(N796=0,0,AVERAGE(B796:M796))</f>
        <v>14.75</v>
      </c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s="9" customFormat="1" ht="15.75">
      <c r="A797" s="97" t="s">
        <v>154</v>
      </c>
      <c r="B797" s="92">
        <f t="shared" ref="B797:C797" si="856">B793</f>
        <v>57</v>
      </c>
      <c r="C797" s="92">
        <f t="shared" si="856"/>
        <v>54</v>
      </c>
      <c r="D797" s="92">
        <f t="shared" ref="D797:E797" si="857">D793</f>
        <v>46</v>
      </c>
      <c r="E797" s="92">
        <f t="shared" si="857"/>
        <v>18</v>
      </c>
      <c r="F797" s="92">
        <f t="shared" ref="F797:G797" si="858">F793</f>
        <v>35</v>
      </c>
      <c r="G797" s="92">
        <f t="shared" si="858"/>
        <v>27</v>
      </c>
      <c r="H797" s="92">
        <f t="shared" ref="H797:I797" si="859">H793</f>
        <v>0</v>
      </c>
      <c r="I797" s="92">
        <f t="shared" si="859"/>
        <v>63</v>
      </c>
      <c r="J797" s="92">
        <f t="shared" ref="J797:K797" si="860">J793</f>
        <v>80</v>
      </c>
      <c r="K797" s="92">
        <f t="shared" si="860"/>
        <v>82</v>
      </c>
      <c r="L797" s="92">
        <f t="shared" ref="L797:M797" si="861">L793</f>
        <v>0</v>
      </c>
      <c r="M797" s="92">
        <f t="shared" si="861"/>
        <v>0</v>
      </c>
      <c r="N797" s="150">
        <f>SUM(B797:M797)</f>
        <v>462</v>
      </c>
      <c r="O797" s="22">
        <f>IF(N797=0,0,AVERAGE(B797:M797))</f>
        <v>38.5</v>
      </c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s="9" customFormat="1" ht="15.75">
      <c r="A798" s="267" t="s">
        <v>155</v>
      </c>
      <c r="B798" s="372">
        <f t="shared" ref="B798:C798" si="862">SUM(B796:B797)</f>
        <v>89</v>
      </c>
      <c r="C798" s="372">
        <f t="shared" si="862"/>
        <v>75</v>
      </c>
      <c r="D798" s="372">
        <f t="shared" ref="D798:E798" si="863">SUM(D796:D797)</f>
        <v>70</v>
      </c>
      <c r="E798" s="372">
        <f t="shared" si="863"/>
        <v>29</v>
      </c>
      <c r="F798" s="372">
        <f t="shared" ref="F798:G798" si="864">SUM(F796:F797)</f>
        <v>52</v>
      </c>
      <c r="G798" s="372">
        <f t="shared" si="864"/>
        <v>41</v>
      </c>
      <c r="H798" s="372">
        <f t="shared" ref="H798:I798" si="865">SUM(H796:H797)</f>
        <v>0</v>
      </c>
      <c r="I798" s="372">
        <f t="shared" si="865"/>
        <v>83</v>
      </c>
      <c r="J798" s="372">
        <f t="shared" ref="J798:K798" si="866">SUM(J796:J797)</f>
        <v>98</v>
      </c>
      <c r="K798" s="372">
        <f t="shared" si="866"/>
        <v>98</v>
      </c>
      <c r="L798" s="372">
        <f t="shared" ref="L798:M798" si="867">SUM(L796:L797)</f>
        <v>4</v>
      </c>
      <c r="M798" s="372">
        <f t="shared" si="867"/>
        <v>0</v>
      </c>
      <c r="N798" s="373">
        <f>SUM(N796:N797)</f>
        <v>639</v>
      </c>
      <c r="O798" s="374">
        <f>SUM(O796:O797)</f>
        <v>53.25</v>
      </c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s="9" customFormat="1" ht="15.75">
      <c r="A799" s="88"/>
      <c r="B799" s="89"/>
      <c r="C799" s="89"/>
      <c r="D799" s="89"/>
      <c r="E799" s="89"/>
      <c r="F799" s="89"/>
      <c r="G799" s="89"/>
      <c r="H799" s="89"/>
      <c r="I799" s="89"/>
      <c r="J799" s="89"/>
      <c r="K799" s="89"/>
      <c r="L799" s="89"/>
      <c r="M799" s="89"/>
      <c r="N799" s="167"/>
      <c r="O799" s="90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s="9" customFormat="1" ht="15.75">
      <c r="A800" s="98" t="s">
        <v>764</v>
      </c>
      <c r="B800" s="99"/>
      <c r="C800" s="99"/>
      <c r="D800" s="99"/>
      <c r="E800" s="99"/>
      <c r="F800" s="99"/>
      <c r="G800" s="99"/>
      <c r="H800" s="99"/>
      <c r="I800" s="99"/>
      <c r="J800" s="99"/>
      <c r="K800" s="99"/>
      <c r="L800" s="99"/>
      <c r="M800" s="99"/>
      <c r="N800" s="169"/>
      <c r="O800" s="100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s="9" customFormat="1" ht="15.75">
      <c r="A801" s="66" t="s">
        <v>766</v>
      </c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49"/>
      <c r="O801" s="19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s="9" customFormat="1" ht="15.75">
      <c r="A802" s="40" t="s">
        <v>18</v>
      </c>
      <c r="B802" s="21">
        <v>34</v>
      </c>
      <c r="C802" s="21">
        <v>47</v>
      </c>
      <c r="D802" s="21">
        <v>13</v>
      </c>
      <c r="E802" s="21">
        <v>9</v>
      </c>
      <c r="F802" s="21">
        <v>11</v>
      </c>
      <c r="G802" s="21">
        <v>21</v>
      </c>
      <c r="H802" s="87">
        <v>25</v>
      </c>
      <c r="I802" s="87">
        <v>88</v>
      </c>
      <c r="J802" s="87">
        <v>79</v>
      </c>
      <c r="K802" s="21">
        <v>71</v>
      </c>
      <c r="L802" s="21">
        <v>173</v>
      </c>
      <c r="M802" s="21">
        <v>154</v>
      </c>
      <c r="N802" s="150">
        <f>SUM(B802:M802)</f>
        <v>725</v>
      </c>
      <c r="O802" s="22">
        <f>IF(N802=0,0,AVERAGE(B802:M802))</f>
        <v>60.416666666666664</v>
      </c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s="9" customFormat="1" ht="15.75">
      <c r="A803" s="40" t="s">
        <v>19</v>
      </c>
      <c r="B803" s="21">
        <v>63</v>
      </c>
      <c r="C803" s="21">
        <v>55</v>
      </c>
      <c r="D803" s="21">
        <v>54</v>
      </c>
      <c r="E803" s="21">
        <v>53</v>
      </c>
      <c r="F803" s="21">
        <v>41</v>
      </c>
      <c r="G803" s="21">
        <v>51</v>
      </c>
      <c r="H803" s="87">
        <v>71</v>
      </c>
      <c r="I803" s="87">
        <v>62</v>
      </c>
      <c r="J803" s="87">
        <v>69</v>
      </c>
      <c r="K803" s="21">
        <v>108</v>
      </c>
      <c r="L803" s="21">
        <v>31</v>
      </c>
      <c r="M803" s="21">
        <v>29</v>
      </c>
      <c r="N803" s="150">
        <f>SUM(B803:M803)</f>
        <v>687</v>
      </c>
      <c r="O803" s="22">
        <f>IF(N803=0,0,AVERAGE(B803:M803))</f>
        <v>57.25</v>
      </c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s="9" customFormat="1" ht="15.75">
      <c r="A804" s="40" t="s">
        <v>20</v>
      </c>
      <c r="B804" s="21">
        <v>15</v>
      </c>
      <c r="C804" s="21">
        <v>18</v>
      </c>
      <c r="D804" s="21">
        <v>8</v>
      </c>
      <c r="E804" s="21">
        <v>11</v>
      </c>
      <c r="F804" s="21">
        <v>10</v>
      </c>
      <c r="G804" s="21">
        <v>7</v>
      </c>
      <c r="H804" s="87">
        <v>2</v>
      </c>
      <c r="I804" s="87">
        <v>6</v>
      </c>
      <c r="J804" s="87">
        <v>10</v>
      </c>
      <c r="K804" s="21">
        <v>2</v>
      </c>
      <c r="L804" s="21">
        <v>6</v>
      </c>
      <c r="M804" s="21">
        <v>6</v>
      </c>
      <c r="N804" s="150">
        <f>SUM(B804:M804)</f>
        <v>101</v>
      </c>
      <c r="O804" s="22">
        <f>IF(N804=0,0,AVERAGE(B804:M804))</f>
        <v>8.4166666666666661</v>
      </c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s="9" customFormat="1" ht="15.75">
      <c r="A805" s="62" t="s">
        <v>21</v>
      </c>
      <c r="B805" s="24">
        <f t="shared" ref="B805:C805" si="868">SUM(B802:B804)</f>
        <v>112</v>
      </c>
      <c r="C805" s="24">
        <f t="shared" si="868"/>
        <v>120</v>
      </c>
      <c r="D805" s="24">
        <f t="shared" ref="D805:E805" si="869">SUM(D802:D804)</f>
        <v>75</v>
      </c>
      <c r="E805" s="24">
        <f t="shared" si="869"/>
        <v>73</v>
      </c>
      <c r="F805" s="24">
        <f t="shared" ref="F805:G805" si="870">SUM(F802:F804)</f>
        <v>62</v>
      </c>
      <c r="G805" s="24">
        <f t="shared" si="870"/>
        <v>79</v>
      </c>
      <c r="H805" s="24">
        <f t="shared" ref="H805:I805" si="871">SUM(H802:H804)</f>
        <v>98</v>
      </c>
      <c r="I805" s="24">
        <f t="shared" si="871"/>
        <v>156</v>
      </c>
      <c r="J805" s="24">
        <f t="shared" ref="J805:K805" si="872">SUM(J802:J804)</f>
        <v>158</v>
      </c>
      <c r="K805" s="24">
        <f t="shared" si="872"/>
        <v>181</v>
      </c>
      <c r="L805" s="24">
        <f t="shared" ref="L805:M805" si="873">SUM(L802:L804)</f>
        <v>210</v>
      </c>
      <c r="M805" s="24">
        <f t="shared" si="873"/>
        <v>189</v>
      </c>
      <c r="N805" s="144">
        <f>SUM(N802:N804)</f>
        <v>1513</v>
      </c>
      <c r="O805" s="25">
        <f>SUM(O802:O804)</f>
        <v>126.08333333333333</v>
      </c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s="9" customFormat="1" ht="15.75">
      <c r="A806" s="62" t="s">
        <v>112</v>
      </c>
      <c r="B806" s="25">
        <f t="shared" ref="B806:G806" si="874">IF(B805=0,"",B805/B$1870)</f>
        <v>3.6129032258064515</v>
      </c>
      <c r="C806" s="25">
        <f t="shared" si="874"/>
        <v>4.2857142857142856</v>
      </c>
      <c r="D806" s="25">
        <f t="shared" si="874"/>
        <v>2.4193548387096775</v>
      </c>
      <c r="E806" s="25">
        <f t="shared" si="874"/>
        <v>2.4333333333333331</v>
      </c>
      <c r="F806" s="25">
        <f t="shared" si="874"/>
        <v>2</v>
      </c>
      <c r="G806" s="25">
        <f t="shared" si="874"/>
        <v>2.6333333333333333</v>
      </c>
      <c r="H806" s="25">
        <f t="shared" ref="H806:I806" si="875">IF(H805=0,"",H805/H$1870)</f>
        <v>3.161290322580645</v>
      </c>
      <c r="I806" s="25">
        <f t="shared" si="875"/>
        <v>5.032258064516129</v>
      </c>
      <c r="J806" s="25">
        <f t="shared" ref="J806:K806" si="876">IF(J805=0,"",J805/J$1870)</f>
        <v>5.2666666666666666</v>
      </c>
      <c r="K806" s="25">
        <f t="shared" si="876"/>
        <v>5.838709677419355</v>
      </c>
      <c r="L806" s="25">
        <f t="shared" ref="L806:M806" si="877">IF(L805=0,"",L805/L$1870)</f>
        <v>7</v>
      </c>
      <c r="M806" s="25">
        <f t="shared" si="877"/>
        <v>6.096774193548387</v>
      </c>
      <c r="N806" s="144">
        <f>SUM(B806:M806)</f>
        <v>49.780337941628261</v>
      </c>
      <c r="O806" s="25">
        <f>IF(N806=0,0,AVERAGE(B806:M806))</f>
        <v>4.1483614951356884</v>
      </c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s="9" customFormat="1" ht="15.75">
      <c r="A807" s="101"/>
      <c r="B807" s="27"/>
      <c r="C807" s="27"/>
      <c r="D807" s="27"/>
      <c r="E807" s="28"/>
      <c r="F807" s="28"/>
      <c r="G807" s="28"/>
      <c r="H807" s="28"/>
      <c r="I807" s="28"/>
      <c r="J807" s="28"/>
      <c r="K807" s="28"/>
      <c r="L807" s="28"/>
      <c r="M807" s="28"/>
      <c r="N807" s="151"/>
      <c r="O807" s="102"/>
      <c r="P807" s="103"/>
      <c r="Q807" s="103"/>
      <c r="R807" s="103"/>
      <c r="S807" s="103"/>
      <c r="T807" s="103"/>
      <c r="U807" s="103"/>
      <c r="V807" s="103"/>
      <c r="W807" s="103"/>
      <c r="X807" s="103"/>
      <c r="Y807" s="103"/>
      <c r="Z807" s="103"/>
    </row>
    <row r="808" spans="1:26" s="9" customFormat="1" ht="15.75">
      <c r="A808" s="66" t="s">
        <v>767</v>
      </c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49"/>
      <c r="O808" s="19"/>
      <c r="P808" s="103"/>
      <c r="Q808" s="103"/>
      <c r="R808" s="103"/>
      <c r="S808" s="103"/>
      <c r="T808" s="103"/>
      <c r="U808" s="103"/>
      <c r="V808" s="103"/>
      <c r="W808" s="103"/>
      <c r="X808" s="103"/>
      <c r="Y808" s="103"/>
      <c r="Z808" s="103"/>
    </row>
    <row r="809" spans="1:26" s="9" customFormat="1" ht="15.75">
      <c r="A809" s="104" t="s">
        <v>114</v>
      </c>
      <c r="B809" s="416">
        <v>150</v>
      </c>
      <c r="C809" s="416">
        <v>148</v>
      </c>
      <c r="D809" s="416">
        <v>127</v>
      </c>
      <c r="E809" s="106">
        <v>68</v>
      </c>
      <c r="F809" s="106">
        <v>74</v>
      </c>
      <c r="G809" s="106">
        <v>135</v>
      </c>
      <c r="H809" s="106">
        <v>147</v>
      </c>
      <c r="I809" s="106">
        <v>132</v>
      </c>
      <c r="J809" s="106">
        <v>137</v>
      </c>
      <c r="K809" s="106">
        <v>117</v>
      </c>
      <c r="L809" s="106">
        <v>108</v>
      </c>
      <c r="M809" s="106">
        <v>166</v>
      </c>
      <c r="N809" s="150">
        <f>SUM(B809:M809)</f>
        <v>1509</v>
      </c>
      <c r="O809" s="22">
        <f>IF(N809=0,0,AVERAGE(B809:M809))</f>
        <v>125.75</v>
      </c>
      <c r="P809" s="103"/>
      <c r="Q809" s="103"/>
      <c r="R809" s="103"/>
      <c r="S809" s="103"/>
      <c r="T809" s="103"/>
      <c r="U809" s="103"/>
      <c r="V809" s="103"/>
      <c r="W809" s="103"/>
      <c r="X809" s="103"/>
      <c r="Y809" s="103"/>
      <c r="Z809" s="103"/>
    </row>
    <row r="810" spans="1:26" s="9" customFormat="1" ht="15.75">
      <c r="A810" s="62" t="s">
        <v>21</v>
      </c>
      <c r="B810" s="24">
        <f t="shared" ref="B810:C810" si="878">SUM(B809)</f>
        <v>150</v>
      </c>
      <c r="C810" s="24">
        <f t="shared" si="878"/>
        <v>148</v>
      </c>
      <c r="D810" s="24">
        <f t="shared" ref="D810:E810" si="879">SUM(D809)</f>
        <v>127</v>
      </c>
      <c r="E810" s="24">
        <f t="shared" si="879"/>
        <v>68</v>
      </c>
      <c r="F810" s="24">
        <f t="shared" ref="F810:G810" si="880">SUM(F809)</f>
        <v>74</v>
      </c>
      <c r="G810" s="24">
        <f t="shared" si="880"/>
        <v>135</v>
      </c>
      <c r="H810" s="24">
        <f t="shared" ref="H810:J810" si="881">SUM(H809)</f>
        <v>147</v>
      </c>
      <c r="I810" s="24">
        <f t="shared" si="881"/>
        <v>132</v>
      </c>
      <c r="J810" s="24">
        <f t="shared" si="881"/>
        <v>137</v>
      </c>
      <c r="K810" s="24">
        <f t="shared" ref="K810:L810" si="882">SUM(K809)</f>
        <v>117</v>
      </c>
      <c r="L810" s="24">
        <f t="shared" si="882"/>
        <v>108</v>
      </c>
      <c r="M810" s="24">
        <f t="shared" ref="M810" si="883">SUM(M809)</f>
        <v>166</v>
      </c>
      <c r="N810" s="144">
        <f>SUM(N809)</f>
        <v>1509</v>
      </c>
      <c r="O810" s="25">
        <f>SUM(O809)</f>
        <v>125.75</v>
      </c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s="9" customFormat="1" ht="15.75">
      <c r="A811" s="62" t="s">
        <v>112</v>
      </c>
      <c r="B811" s="25">
        <f t="shared" ref="B811:G811" si="884">IF(B810=0,"",B810/B$1870)</f>
        <v>4.838709677419355</v>
      </c>
      <c r="C811" s="25">
        <f t="shared" si="884"/>
        <v>5.2857142857142856</v>
      </c>
      <c r="D811" s="25">
        <f t="shared" si="884"/>
        <v>4.096774193548387</v>
      </c>
      <c r="E811" s="25">
        <f t="shared" si="884"/>
        <v>2.2666666666666666</v>
      </c>
      <c r="F811" s="25">
        <f t="shared" si="884"/>
        <v>2.3870967741935485</v>
      </c>
      <c r="G811" s="25">
        <f t="shared" si="884"/>
        <v>4.5</v>
      </c>
      <c r="H811" s="25">
        <f t="shared" ref="H811:I811" si="885">IF(H810=0,"",H810/H$1870)</f>
        <v>4.741935483870968</v>
      </c>
      <c r="I811" s="25">
        <f t="shared" si="885"/>
        <v>4.258064516129032</v>
      </c>
      <c r="J811" s="25">
        <f t="shared" ref="J811:K811" si="886">IF(J810=0,"",J810/J$1870)</f>
        <v>4.5666666666666664</v>
      </c>
      <c r="K811" s="25">
        <f t="shared" si="886"/>
        <v>3.774193548387097</v>
      </c>
      <c r="L811" s="25">
        <f t="shared" ref="L811:M811" si="887">IF(L810=0,"",L810/L$1870)</f>
        <v>3.6</v>
      </c>
      <c r="M811" s="25">
        <f t="shared" si="887"/>
        <v>5.354838709677419</v>
      </c>
      <c r="N811" s="144">
        <f>SUM(B811:M811)</f>
        <v>49.670660522273415</v>
      </c>
      <c r="O811" s="25">
        <f>IF(N811=0,0,AVERAGE(B811:M811))</f>
        <v>4.1392217101894513</v>
      </c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s="9" customFormat="1" ht="15.75">
      <c r="A812" s="101"/>
      <c r="B812" s="27"/>
      <c r="C812" s="27"/>
      <c r="D812" s="27"/>
      <c r="E812" s="27"/>
      <c r="F812" s="27"/>
      <c r="G812" s="28"/>
      <c r="H812" s="28"/>
      <c r="I812" s="28"/>
      <c r="J812" s="28"/>
      <c r="K812" s="28"/>
      <c r="L812" s="28"/>
      <c r="M812" s="28"/>
      <c r="N812" s="151"/>
      <c r="O812" s="57"/>
      <c r="P812" s="103"/>
      <c r="Q812" s="103"/>
      <c r="R812" s="103"/>
      <c r="S812" s="103"/>
      <c r="T812" s="103"/>
      <c r="U812" s="103"/>
      <c r="V812" s="103"/>
      <c r="W812" s="103"/>
      <c r="X812" s="103"/>
      <c r="Y812" s="103"/>
      <c r="Z812" s="103"/>
    </row>
    <row r="813" spans="1:26" s="9" customFormat="1" ht="15.75">
      <c r="A813" s="91" t="s">
        <v>153</v>
      </c>
      <c r="B813" s="92">
        <f t="shared" ref="B813:C813" si="888">B805</f>
        <v>112</v>
      </c>
      <c r="C813" s="92">
        <f t="shared" si="888"/>
        <v>120</v>
      </c>
      <c r="D813" s="92">
        <f t="shared" ref="D813:E813" si="889">D805</f>
        <v>75</v>
      </c>
      <c r="E813" s="92">
        <f t="shared" si="889"/>
        <v>73</v>
      </c>
      <c r="F813" s="92">
        <f t="shared" ref="F813:G813" si="890">F805</f>
        <v>62</v>
      </c>
      <c r="G813" s="92">
        <f t="shared" si="890"/>
        <v>79</v>
      </c>
      <c r="H813" s="92">
        <f t="shared" ref="H813:I813" si="891">H805</f>
        <v>98</v>
      </c>
      <c r="I813" s="92">
        <f t="shared" si="891"/>
        <v>156</v>
      </c>
      <c r="J813" s="92">
        <f t="shared" ref="J813:K813" si="892">J805</f>
        <v>158</v>
      </c>
      <c r="K813" s="92">
        <f t="shared" si="892"/>
        <v>181</v>
      </c>
      <c r="L813" s="92">
        <f t="shared" ref="L813:M813" si="893">L805</f>
        <v>210</v>
      </c>
      <c r="M813" s="92">
        <f t="shared" si="893"/>
        <v>189</v>
      </c>
      <c r="N813" s="150">
        <f>SUM(B813:M813)</f>
        <v>1513</v>
      </c>
      <c r="O813" s="22">
        <f>IF(N813=0,0,AVERAGE(B813:M813))</f>
        <v>126.08333333333333</v>
      </c>
      <c r="P813" s="103"/>
      <c r="Q813" s="103"/>
      <c r="R813" s="103"/>
      <c r="S813" s="103"/>
      <c r="T813" s="103"/>
      <c r="U813" s="103"/>
      <c r="V813" s="103"/>
      <c r="W813" s="103"/>
      <c r="X813" s="103"/>
      <c r="Y813" s="103"/>
      <c r="Z813" s="103"/>
    </row>
    <row r="814" spans="1:26" s="9" customFormat="1" ht="15.75">
      <c r="A814" s="91" t="s">
        <v>154</v>
      </c>
      <c r="B814" s="92">
        <f t="shared" ref="B814:C814" si="894">B810</f>
        <v>150</v>
      </c>
      <c r="C814" s="92">
        <f t="shared" si="894"/>
        <v>148</v>
      </c>
      <c r="D814" s="92">
        <f t="shared" ref="D814:E814" si="895">D810</f>
        <v>127</v>
      </c>
      <c r="E814" s="92">
        <f t="shared" si="895"/>
        <v>68</v>
      </c>
      <c r="F814" s="92">
        <f t="shared" ref="F814:G814" si="896">F810</f>
        <v>74</v>
      </c>
      <c r="G814" s="92">
        <f t="shared" si="896"/>
        <v>135</v>
      </c>
      <c r="H814" s="92">
        <f t="shared" ref="H814:I814" si="897">H810</f>
        <v>147</v>
      </c>
      <c r="I814" s="92">
        <f t="shared" si="897"/>
        <v>132</v>
      </c>
      <c r="J814" s="92">
        <f t="shared" ref="J814:K814" si="898">J810</f>
        <v>137</v>
      </c>
      <c r="K814" s="92">
        <f t="shared" si="898"/>
        <v>117</v>
      </c>
      <c r="L814" s="92">
        <f t="shared" ref="L814:M814" si="899">L810</f>
        <v>108</v>
      </c>
      <c r="M814" s="92">
        <f t="shared" si="899"/>
        <v>166</v>
      </c>
      <c r="N814" s="150">
        <f>SUM(B814:M814)</f>
        <v>1509</v>
      </c>
      <c r="O814" s="22">
        <f>IF(N814=0,0,AVERAGE(B814:M814))</f>
        <v>125.75</v>
      </c>
      <c r="P814" s="103"/>
      <c r="Q814" s="103"/>
      <c r="R814" s="103"/>
      <c r="S814" s="103"/>
      <c r="T814" s="103"/>
      <c r="U814" s="103"/>
      <c r="V814" s="103"/>
      <c r="W814" s="103"/>
      <c r="X814" s="103"/>
      <c r="Y814" s="103"/>
      <c r="Z814" s="103"/>
    </row>
    <row r="815" spans="1:26" s="9" customFormat="1" ht="15.75">
      <c r="A815" s="381" t="s">
        <v>155</v>
      </c>
      <c r="B815" s="372">
        <f t="shared" ref="B815:C815" si="900">SUM(B813:B814)</f>
        <v>262</v>
      </c>
      <c r="C815" s="372">
        <f t="shared" si="900"/>
        <v>268</v>
      </c>
      <c r="D815" s="372">
        <f t="shared" ref="D815:E815" si="901">SUM(D813:D814)</f>
        <v>202</v>
      </c>
      <c r="E815" s="372">
        <f t="shared" si="901"/>
        <v>141</v>
      </c>
      <c r="F815" s="372">
        <f t="shared" ref="F815:G815" si="902">SUM(F813:F814)</f>
        <v>136</v>
      </c>
      <c r="G815" s="372">
        <f t="shared" si="902"/>
        <v>214</v>
      </c>
      <c r="H815" s="372">
        <f t="shared" ref="H815:I815" si="903">SUM(H813:H814)</f>
        <v>245</v>
      </c>
      <c r="I815" s="372">
        <f t="shared" si="903"/>
        <v>288</v>
      </c>
      <c r="J815" s="372">
        <f t="shared" ref="J815:K815" si="904">SUM(J813:J814)</f>
        <v>295</v>
      </c>
      <c r="K815" s="372">
        <f t="shared" si="904"/>
        <v>298</v>
      </c>
      <c r="L815" s="372">
        <f t="shared" ref="L815:M815" si="905">SUM(L813:L814)</f>
        <v>318</v>
      </c>
      <c r="M815" s="372">
        <f t="shared" si="905"/>
        <v>355</v>
      </c>
      <c r="N815" s="373">
        <f>SUM(N813:N814)</f>
        <v>3022</v>
      </c>
      <c r="O815" s="374">
        <f>SUM(O813:O814)</f>
        <v>251.83333333333331</v>
      </c>
      <c r="P815" s="103"/>
      <c r="Q815" s="103"/>
      <c r="R815" s="103"/>
      <c r="S815" s="103"/>
      <c r="T815" s="103"/>
      <c r="U815" s="103"/>
      <c r="V815" s="103"/>
      <c r="W815" s="103"/>
      <c r="X815" s="103"/>
      <c r="Y815" s="103"/>
      <c r="Z815" s="103"/>
    </row>
    <row r="816" spans="1:26" s="9" customFormat="1" ht="15.75">
      <c r="A816" s="88"/>
      <c r="B816" s="89"/>
      <c r="C816" s="89"/>
      <c r="D816" s="89"/>
      <c r="E816" s="89"/>
      <c r="F816" s="89"/>
      <c r="G816" s="89"/>
      <c r="H816" s="89"/>
      <c r="I816" s="89"/>
      <c r="J816" s="89"/>
      <c r="K816" s="89"/>
      <c r="L816" s="89"/>
      <c r="M816" s="89"/>
      <c r="N816" s="167"/>
      <c r="O816" s="90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s="9" customFormat="1" ht="15.75">
      <c r="A817" s="98" t="s">
        <v>768</v>
      </c>
      <c r="B817" s="99"/>
      <c r="C817" s="99"/>
      <c r="D817" s="99"/>
      <c r="E817" s="99"/>
      <c r="F817" s="99"/>
      <c r="G817" s="99"/>
      <c r="H817" s="99"/>
      <c r="I817" s="99"/>
      <c r="J817" s="99"/>
      <c r="K817" s="99"/>
      <c r="L817" s="99"/>
      <c r="M817" s="99"/>
      <c r="N817" s="169"/>
      <c r="O817" s="100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s="9" customFormat="1" ht="15.75">
      <c r="A818" s="107" t="s">
        <v>769</v>
      </c>
      <c r="B818" s="99"/>
      <c r="C818" s="99"/>
      <c r="D818" s="99"/>
      <c r="E818" s="99"/>
      <c r="F818" s="99"/>
      <c r="G818" s="99"/>
      <c r="H818" s="99"/>
      <c r="I818" s="99"/>
      <c r="J818" s="99"/>
      <c r="K818" s="99"/>
      <c r="L818" s="99"/>
      <c r="M818" s="99"/>
      <c r="N818" s="169"/>
      <c r="O818" s="100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s="9" customFormat="1" ht="15.75">
      <c r="A819" s="37" t="s">
        <v>178</v>
      </c>
      <c r="B819" s="21">
        <f t="shared" ref="B819:C819" si="906">B831+B850</f>
        <v>32</v>
      </c>
      <c r="C819" s="21">
        <f t="shared" si="906"/>
        <v>34</v>
      </c>
      <c r="D819" s="21">
        <f t="shared" ref="D819:E819" si="907">D831+D850</f>
        <v>68</v>
      </c>
      <c r="E819" s="21">
        <f t="shared" si="907"/>
        <v>14</v>
      </c>
      <c r="F819" s="21">
        <f t="shared" ref="F819:G819" si="908">F831+F850</f>
        <v>13</v>
      </c>
      <c r="G819" s="21">
        <f t="shared" si="908"/>
        <v>37</v>
      </c>
      <c r="H819" s="21">
        <f t="shared" ref="H819:I819" si="909">H831+H850</f>
        <v>2</v>
      </c>
      <c r="I819" s="21">
        <f t="shared" si="909"/>
        <v>43</v>
      </c>
      <c r="J819" s="21">
        <f t="shared" ref="J819:K819" si="910">J831+J850</f>
        <v>56</v>
      </c>
      <c r="K819" s="21">
        <f t="shared" si="910"/>
        <v>42</v>
      </c>
      <c r="L819" s="21">
        <f t="shared" ref="L819:M819" si="911">L831+L850</f>
        <v>29</v>
      </c>
      <c r="M819" s="21">
        <f t="shared" si="911"/>
        <v>50</v>
      </c>
      <c r="N819" s="150">
        <f t="shared" ref="N819:N826" si="912">SUM(B819:M819)</f>
        <v>420</v>
      </c>
      <c r="O819" s="22">
        <f t="shared" ref="O819:O826" si="913">IF(N819=0,0,AVERAGE(B819:M819))</f>
        <v>35</v>
      </c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s="9" customFormat="1" ht="15.75">
      <c r="A820" s="37" t="s">
        <v>179</v>
      </c>
      <c r="B820" s="21">
        <f t="shared" ref="B820:C826" si="914">B832+B851</f>
        <v>2</v>
      </c>
      <c r="C820" s="21">
        <f t="shared" si="914"/>
        <v>1</v>
      </c>
      <c r="D820" s="21">
        <f t="shared" ref="D820:E820" si="915">D832+D851</f>
        <v>0</v>
      </c>
      <c r="E820" s="21">
        <f t="shared" si="915"/>
        <v>0</v>
      </c>
      <c r="F820" s="21">
        <f t="shared" ref="F820:G820" si="916">F832+F851</f>
        <v>0</v>
      </c>
      <c r="G820" s="21">
        <f t="shared" si="916"/>
        <v>1</v>
      </c>
      <c r="H820" s="21">
        <f t="shared" ref="H820:I820" si="917">H832+H851</f>
        <v>0</v>
      </c>
      <c r="I820" s="21">
        <f t="shared" si="917"/>
        <v>1</v>
      </c>
      <c r="J820" s="21">
        <f t="shared" ref="J820:K820" si="918">J832+J851</f>
        <v>1</v>
      </c>
      <c r="K820" s="21">
        <f t="shared" si="918"/>
        <v>2</v>
      </c>
      <c r="L820" s="21">
        <f t="shared" ref="L820:M820" si="919">L832+L851</f>
        <v>1</v>
      </c>
      <c r="M820" s="21">
        <f t="shared" si="919"/>
        <v>1</v>
      </c>
      <c r="N820" s="150">
        <f t="shared" si="912"/>
        <v>10</v>
      </c>
      <c r="O820" s="22">
        <f t="shared" si="913"/>
        <v>0.83333333333333337</v>
      </c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s="9" customFormat="1" ht="15.75">
      <c r="A821" s="37" t="s">
        <v>409</v>
      </c>
      <c r="B821" s="21">
        <f t="shared" si="914"/>
        <v>251</v>
      </c>
      <c r="C821" s="21">
        <f t="shared" si="914"/>
        <v>365</v>
      </c>
      <c r="D821" s="21">
        <f t="shared" ref="D821:E821" si="920">D833+D852</f>
        <v>347</v>
      </c>
      <c r="E821" s="21">
        <f t="shared" si="920"/>
        <v>162</v>
      </c>
      <c r="F821" s="21">
        <f t="shared" ref="F821:G821" si="921">F833+F852</f>
        <v>85</v>
      </c>
      <c r="G821" s="21">
        <f t="shared" si="921"/>
        <v>226</v>
      </c>
      <c r="H821" s="21">
        <f t="shared" ref="H821:I821" si="922">H833+H852</f>
        <v>275</v>
      </c>
      <c r="I821" s="21">
        <f t="shared" si="922"/>
        <v>378</v>
      </c>
      <c r="J821" s="21">
        <f t="shared" ref="J821:K821" si="923">J833+J852</f>
        <v>460</v>
      </c>
      <c r="K821" s="21">
        <f t="shared" si="923"/>
        <v>430</v>
      </c>
      <c r="L821" s="21">
        <f t="shared" ref="L821:M821" si="924">L833+L852</f>
        <v>397</v>
      </c>
      <c r="M821" s="21">
        <f t="shared" si="924"/>
        <v>283</v>
      </c>
      <c r="N821" s="150">
        <f t="shared" si="912"/>
        <v>3659</v>
      </c>
      <c r="O821" s="22">
        <f t="shared" si="913"/>
        <v>304.91666666666669</v>
      </c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s="9" customFormat="1" ht="15.75">
      <c r="A822" s="37" t="s">
        <v>180</v>
      </c>
      <c r="B822" s="21">
        <f t="shared" si="914"/>
        <v>0</v>
      </c>
      <c r="C822" s="21">
        <f t="shared" si="914"/>
        <v>0</v>
      </c>
      <c r="D822" s="21">
        <f t="shared" ref="D822:E822" si="925">D834+D853</f>
        <v>0</v>
      </c>
      <c r="E822" s="21">
        <f t="shared" si="925"/>
        <v>0</v>
      </c>
      <c r="F822" s="21">
        <f t="shared" ref="F822:G822" si="926">F834+F853</f>
        <v>0</v>
      </c>
      <c r="G822" s="21">
        <f t="shared" si="926"/>
        <v>0</v>
      </c>
      <c r="H822" s="21">
        <f t="shared" ref="H822:I822" si="927">H834+H853</f>
        <v>0</v>
      </c>
      <c r="I822" s="21">
        <f t="shared" si="927"/>
        <v>3</v>
      </c>
      <c r="J822" s="21">
        <f t="shared" ref="J822:K822" si="928">J834+J853</f>
        <v>0</v>
      </c>
      <c r="K822" s="21">
        <f t="shared" si="928"/>
        <v>0</v>
      </c>
      <c r="L822" s="21">
        <f t="shared" ref="L822:M822" si="929">L834+L853</f>
        <v>0</v>
      </c>
      <c r="M822" s="21">
        <f t="shared" si="929"/>
        <v>0</v>
      </c>
      <c r="N822" s="150">
        <f t="shared" si="912"/>
        <v>3</v>
      </c>
      <c r="O822" s="22">
        <f t="shared" si="913"/>
        <v>0.25</v>
      </c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s="9" customFormat="1" ht="15.75">
      <c r="A823" s="37" t="s">
        <v>148</v>
      </c>
      <c r="B823" s="21">
        <f t="shared" si="914"/>
        <v>0</v>
      </c>
      <c r="C823" s="21">
        <f t="shared" si="914"/>
        <v>0</v>
      </c>
      <c r="D823" s="21">
        <f t="shared" ref="D823:E823" si="930">D835+D854</f>
        <v>0</v>
      </c>
      <c r="E823" s="21">
        <f t="shared" si="930"/>
        <v>0</v>
      </c>
      <c r="F823" s="21">
        <f t="shared" ref="F823:G823" si="931">F835+F854</f>
        <v>0</v>
      </c>
      <c r="G823" s="21">
        <f t="shared" si="931"/>
        <v>0</v>
      </c>
      <c r="H823" s="21">
        <f t="shared" ref="H823:I823" si="932">H835+H854</f>
        <v>0</v>
      </c>
      <c r="I823" s="21">
        <f t="shared" si="932"/>
        <v>0</v>
      </c>
      <c r="J823" s="21">
        <f t="shared" ref="J823:K823" si="933">J835+J854</f>
        <v>0</v>
      </c>
      <c r="K823" s="21">
        <f t="shared" si="933"/>
        <v>0</v>
      </c>
      <c r="L823" s="21">
        <f t="shared" ref="L823:M823" si="934">L835+L854</f>
        <v>0</v>
      </c>
      <c r="M823" s="21">
        <f t="shared" si="934"/>
        <v>0</v>
      </c>
      <c r="N823" s="150">
        <f t="shared" si="912"/>
        <v>0</v>
      </c>
      <c r="O823" s="22">
        <f t="shared" si="913"/>
        <v>0</v>
      </c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s="9" customFormat="1" ht="15.75">
      <c r="A824" s="37" t="s">
        <v>181</v>
      </c>
      <c r="B824" s="21">
        <f t="shared" si="914"/>
        <v>0</v>
      </c>
      <c r="C824" s="21">
        <f t="shared" si="914"/>
        <v>0</v>
      </c>
      <c r="D824" s="21">
        <f t="shared" ref="D824:E824" si="935">D836+D855</f>
        <v>0</v>
      </c>
      <c r="E824" s="21">
        <f t="shared" si="935"/>
        <v>0</v>
      </c>
      <c r="F824" s="21">
        <f t="shared" ref="F824:G824" si="936">F836+F855</f>
        <v>0</v>
      </c>
      <c r="G824" s="21">
        <f t="shared" si="936"/>
        <v>0</v>
      </c>
      <c r="H824" s="21">
        <f t="shared" ref="H824:I824" si="937">H836+H855</f>
        <v>0</v>
      </c>
      <c r="I824" s="21">
        <f t="shared" si="937"/>
        <v>0</v>
      </c>
      <c r="J824" s="21">
        <f t="shared" ref="J824:K824" si="938">J836+J855</f>
        <v>0</v>
      </c>
      <c r="K824" s="21">
        <f t="shared" si="938"/>
        <v>0</v>
      </c>
      <c r="L824" s="21">
        <f t="shared" ref="L824:M824" si="939">L836+L855</f>
        <v>1</v>
      </c>
      <c r="M824" s="21">
        <f t="shared" si="939"/>
        <v>3</v>
      </c>
      <c r="N824" s="150">
        <f t="shared" si="912"/>
        <v>4</v>
      </c>
      <c r="O824" s="22">
        <f t="shared" si="913"/>
        <v>0.33333333333333331</v>
      </c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s="9" customFormat="1" ht="15.75">
      <c r="A825" s="37" t="s">
        <v>414</v>
      </c>
      <c r="B825" s="21">
        <f t="shared" si="914"/>
        <v>203</v>
      </c>
      <c r="C825" s="21">
        <f t="shared" si="914"/>
        <v>291</v>
      </c>
      <c r="D825" s="21">
        <f t="shared" ref="D825:E825" si="940">D837+D856</f>
        <v>253</v>
      </c>
      <c r="E825" s="21">
        <f t="shared" si="940"/>
        <v>129</v>
      </c>
      <c r="F825" s="21">
        <f t="shared" ref="F825:G825" si="941">F837+F856</f>
        <v>63</v>
      </c>
      <c r="G825" s="21">
        <f t="shared" si="941"/>
        <v>170</v>
      </c>
      <c r="H825" s="21">
        <f t="shared" ref="H825:I825" si="942">H837+H856</f>
        <v>223</v>
      </c>
      <c r="I825" s="21">
        <f t="shared" si="942"/>
        <v>279</v>
      </c>
      <c r="J825" s="21">
        <f t="shared" ref="J825:K825" si="943">J837+J856</f>
        <v>358</v>
      </c>
      <c r="K825" s="21">
        <f t="shared" si="943"/>
        <v>375</v>
      </c>
      <c r="L825" s="21">
        <f t="shared" ref="L825:M825" si="944">L837+L856</f>
        <v>356</v>
      </c>
      <c r="M825" s="21">
        <f t="shared" si="944"/>
        <v>229</v>
      </c>
      <c r="N825" s="150">
        <f t="shared" si="912"/>
        <v>2929</v>
      </c>
      <c r="O825" s="22">
        <f t="shared" si="913"/>
        <v>244.08333333333334</v>
      </c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s="9" customFormat="1" ht="15.75">
      <c r="A826" s="37" t="s">
        <v>22</v>
      </c>
      <c r="B826" s="21">
        <f t="shared" si="914"/>
        <v>0</v>
      </c>
      <c r="C826" s="21">
        <f t="shared" si="914"/>
        <v>2</v>
      </c>
      <c r="D826" s="21">
        <f t="shared" ref="D826:E826" si="945">D838+D857</f>
        <v>1</v>
      </c>
      <c r="E826" s="21">
        <f t="shared" si="945"/>
        <v>0</v>
      </c>
      <c r="F826" s="21">
        <f t="shared" ref="F826:G826" si="946">F838+F857</f>
        <v>1</v>
      </c>
      <c r="G826" s="21">
        <f t="shared" si="946"/>
        <v>1</v>
      </c>
      <c r="H826" s="21">
        <f t="shared" ref="H826:I826" si="947">H838+H857</f>
        <v>1</v>
      </c>
      <c r="I826" s="21">
        <f t="shared" si="947"/>
        <v>3</v>
      </c>
      <c r="J826" s="21">
        <f t="shared" ref="J826:K826" si="948">J838+J857</f>
        <v>6</v>
      </c>
      <c r="K826" s="21">
        <f t="shared" si="948"/>
        <v>2</v>
      </c>
      <c r="L826" s="21">
        <f t="shared" ref="L826:M826" si="949">L838+L857</f>
        <v>3</v>
      </c>
      <c r="M826" s="21">
        <f t="shared" si="949"/>
        <v>1</v>
      </c>
      <c r="N826" s="150">
        <f t="shared" si="912"/>
        <v>21</v>
      </c>
      <c r="O826" s="22">
        <f t="shared" si="913"/>
        <v>1.75</v>
      </c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s="9" customFormat="1" ht="15.75">
      <c r="A827" s="62" t="s">
        <v>21</v>
      </c>
      <c r="B827" s="24">
        <f t="shared" ref="B827:C827" si="950">SUM(B819:B826)</f>
        <v>488</v>
      </c>
      <c r="C827" s="24">
        <f t="shared" si="950"/>
        <v>693</v>
      </c>
      <c r="D827" s="24">
        <f t="shared" ref="D827:E827" si="951">SUM(D819:D826)</f>
        <v>669</v>
      </c>
      <c r="E827" s="24">
        <f t="shared" si="951"/>
        <v>305</v>
      </c>
      <c r="F827" s="24">
        <f t="shared" ref="F827:G827" si="952">SUM(F819:F826)</f>
        <v>162</v>
      </c>
      <c r="G827" s="24">
        <f t="shared" si="952"/>
        <v>435</v>
      </c>
      <c r="H827" s="24">
        <f t="shared" ref="H827:I827" si="953">SUM(H819:H826)</f>
        <v>501</v>
      </c>
      <c r="I827" s="24">
        <f t="shared" si="953"/>
        <v>707</v>
      </c>
      <c r="J827" s="24">
        <f t="shared" ref="J827:K827" si="954">SUM(J819:J826)</f>
        <v>881</v>
      </c>
      <c r="K827" s="24">
        <f t="shared" si="954"/>
        <v>851</v>
      </c>
      <c r="L827" s="24">
        <f t="shared" ref="L827:M827" si="955">SUM(L819:L826)</f>
        <v>787</v>
      </c>
      <c r="M827" s="24">
        <f t="shared" si="955"/>
        <v>567</v>
      </c>
      <c r="N827" s="144">
        <f>SUM(N819:N826)</f>
        <v>7046</v>
      </c>
      <c r="O827" s="25">
        <f>SUM(O819:O826)</f>
        <v>587.16666666666663</v>
      </c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s="9" customFormat="1" ht="15.75">
      <c r="A828" s="62" t="s">
        <v>112</v>
      </c>
      <c r="B828" s="25">
        <f t="shared" ref="B828:G828" si="956">IF(B827=0,"",B827/B$1870)</f>
        <v>15.741935483870968</v>
      </c>
      <c r="C828" s="25">
        <f t="shared" si="956"/>
        <v>24.75</v>
      </c>
      <c r="D828" s="25">
        <f t="shared" si="956"/>
        <v>21.580645161290324</v>
      </c>
      <c r="E828" s="25">
        <f t="shared" si="956"/>
        <v>10.166666666666666</v>
      </c>
      <c r="F828" s="25">
        <f t="shared" si="956"/>
        <v>5.225806451612903</v>
      </c>
      <c r="G828" s="25">
        <f t="shared" si="956"/>
        <v>14.5</v>
      </c>
      <c r="H828" s="25">
        <f t="shared" ref="H828:I828" si="957">IF(H827=0,"",H827/H$1870)</f>
        <v>16.161290322580644</v>
      </c>
      <c r="I828" s="25">
        <f t="shared" si="957"/>
        <v>22.806451612903224</v>
      </c>
      <c r="J828" s="25">
        <f t="shared" ref="J828:K828" si="958">IF(J827=0,"",J827/J$1870)</f>
        <v>29.366666666666667</v>
      </c>
      <c r="K828" s="25">
        <f t="shared" si="958"/>
        <v>27.451612903225808</v>
      </c>
      <c r="L828" s="25">
        <f t="shared" ref="L828:M828" si="959">IF(L827=0,"",L827/L$1870)</f>
        <v>26.233333333333334</v>
      </c>
      <c r="M828" s="25">
        <f t="shared" si="959"/>
        <v>18.29032258064516</v>
      </c>
      <c r="N828" s="144">
        <f>SUM(B828:M828)</f>
        <v>232.2747311827957</v>
      </c>
      <c r="O828" s="25">
        <f>IF(N828=0,0,AVERAGE(B828:M828))</f>
        <v>19.35622759856631</v>
      </c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s="9" customFormat="1" ht="15.75">
      <c r="A829" s="26"/>
      <c r="B829" s="27"/>
      <c r="C829" s="27"/>
      <c r="D829" s="27"/>
      <c r="E829" s="28"/>
      <c r="F829" s="28"/>
      <c r="G829" s="28"/>
      <c r="H829" s="28"/>
      <c r="I829" s="28"/>
      <c r="J829" s="28"/>
      <c r="K829" s="28"/>
      <c r="L829" s="28"/>
      <c r="M829" s="28"/>
      <c r="N829" s="151"/>
      <c r="O829" s="57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s="9" customFormat="1" ht="15.75">
      <c r="A830" s="107" t="s">
        <v>770</v>
      </c>
      <c r="B830" s="99"/>
      <c r="C830" s="99"/>
      <c r="D830" s="99"/>
      <c r="E830" s="99"/>
      <c r="F830" s="99"/>
      <c r="G830" s="99"/>
      <c r="H830" s="99"/>
      <c r="I830" s="99"/>
      <c r="J830" s="99"/>
      <c r="K830" s="99"/>
      <c r="L830" s="99"/>
      <c r="M830" s="99"/>
      <c r="N830" s="169"/>
      <c r="O830" s="100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s="9" customFormat="1" ht="15.75">
      <c r="A831" s="37" t="s">
        <v>178</v>
      </c>
      <c r="B831" s="21">
        <v>2</v>
      </c>
      <c r="C831" s="21">
        <v>5</v>
      </c>
      <c r="D831" s="87">
        <v>2</v>
      </c>
      <c r="E831" s="21">
        <v>4</v>
      </c>
      <c r="F831" s="21">
        <v>0</v>
      </c>
      <c r="G831" s="21">
        <v>4</v>
      </c>
      <c r="H831" s="21">
        <v>1</v>
      </c>
      <c r="I831" s="21">
        <v>2</v>
      </c>
      <c r="J831" s="21">
        <v>6</v>
      </c>
      <c r="K831" s="21">
        <v>2</v>
      </c>
      <c r="L831" s="21">
        <v>3</v>
      </c>
      <c r="M831" s="21">
        <v>4</v>
      </c>
      <c r="N831" s="150">
        <f t="shared" ref="N831:N838" si="960">SUM(B831:M831)</f>
        <v>35</v>
      </c>
      <c r="O831" s="22">
        <f t="shared" ref="O831:O838" si="961">IF(N831=0,0,AVERAGE(B831:M831))</f>
        <v>2.9166666666666665</v>
      </c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s="9" customFormat="1" ht="15.75">
      <c r="A832" s="37" t="s">
        <v>179</v>
      </c>
      <c r="B832" s="21">
        <v>0</v>
      </c>
      <c r="C832" s="21">
        <v>1</v>
      </c>
      <c r="D832" s="87">
        <v>0</v>
      </c>
      <c r="E832" s="21">
        <v>0</v>
      </c>
      <c r="F832" s="21">
        <v>0</v>
      </c>
      <c r="G832" s="21">
        <v>1</v>
      </c>
      <c r="H832" s="21">
        <v>0</v>
      </c>
      <c r="I832" s="21">
        <v>1</v>
      </c>
      <c r="J832" s="21">
        <v>0</v>
      </c>
      <c r="K832" s="21">
        <v>0</v>
      </c>
      <c r="L832" s="21">
        <v>0</v>
      </c>
      <c r="M832" s="21">
        <v>0</v>
      </c>
      <c r="N832" s="150">
        <f t="shared" si="960"/>
        <v>3</v>
      </c>
      <c r="O832" s="22">
        <f t="shared" si="961"/>
        <v>0.25</v>
      </c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s="9" customFormat="1" ht="15.75">
      <c r="A833" s="37" t="s">
        <v>409</v>
      </c>
      <c r="B833" s="21">
        <v>14</v>
      </c>
      <c r="C833" s="21">
        <v>17</v>
      </c>
      <c r="D833" s="87">
        <v>12</v>
      </c>
      <c r="E833" s="21">
        <v>8</v>
      </c>
      <c r="F833" s="21">
        <v>10</v>
      </c>
      <c r="G833" s="21">
        <f>2+11+2</f>
        <v>15</v>
      </c>
      <c r="H833" s="21">
        <v>15</v>
      </c>
      <c r="I833" s="21">
        <v>15</v>
      </c>
      <c r="J833" s="21">
        <v>36</v>
      </c>
      <c r="K833" s="21">
        <v>13</v>
      </c>
      <c r="L833" s="21">
        <v>12</v>
      </c>
      <c r="M833" s="21">
        <v>14</v>
      </c>
      <c r="N833" s="150">
        <f t="shared" si="960"/>
        <v>181</v>
      </c>
      <c r="O833" s="22">
        <f t="shared" si="961"/>
        <v>15.083333333333334</v>
      </c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s="9" customFormat="1" ht="15.75">
      <c r="A834" s="37" t="s">
        <v>180</v>
      </c>
      <c r="B834" s="21">
        <v>0</v>
      </c>
      <c r="C834" s="21">
        <v>0</v>
      </c>
      <c r="D834" s="87">
        <v>0</v>
      </c>
      <c r="E834" s="21">
        <v>0</v>
      </c>
      <c r="F834" s="21">
        <v>0</v>
      </c>
      <c r="G834" s="21">
        <v>0</v>
      </c>
      <c r="H834" s="21">
        <v>0</v>
      </c>
      <c r="I834" s="21">
        <v>0</v>
      </c>
      <c r="J834" s="21">
        <v>0</v>
      </c>
      <c r="K834" s="21">
        <v>0</v>
      </c>
      <c r="L834" s="21">
        <v>0</v>
      </c>
      <c r="M834" s="21">
        <v>0</v>
      </c>
      <c r="N834" s="150">
        <f t="shared" si="960"/>
        <v>0</v>
      </c>
      <c r="O834" s="22">
        <f t="shared" si="961"/>
        <v>0</v>
      </c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s="9" customFormat="1" ht="15.75">
      <c r="A835" s="37" t="s">
        <v>148</v>
      </c>
      <c r="B835" s="21">
        <v>0</v>
      </c>
      <c r="C835" s="21">
        <v>0</v>
      </c>
      <c r="D835" s="87">
        <v>0</v>
      </c>
      <c r="E835" s="21">
        <v>0</v>
      </c>
      <c r="F835" s="21">
        <v>0</v>
      </c>
      <c r="G835" s="21">
        <v>0</v>
      </c>
      <c r="H835" s="21">
        <v>0</v>
      </c>
      <c r="I835" s="21">
        <v>0</v>
      </c>
      <c r="J835" s="21">
        <v>0</v>
      </c>
      <c r="K835" s="21">
        <v>0</v>
      </c>
      <c r="L835" s="21">
        <v>0</v>
      </c>
      <c r="M835" s="21">
        <v>0</v>
      </c>
      <c r="N835" s="150">
        <f t="shared" si="960"/>
        <v>0</v>
      </c>
      <c r="O835" s="22">
        <f t="shared" si="961"/>
        <v>0</v>
      </c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s="9" customFormat="1" ht="15.75">
      <c r="A836" s="37" t="s">
        <v>181</v>
      </c>
      <c r="B836" s="21">
        <v>0</v>
      </c>
      <c r="C836" s="21">
        <v>0</v>
      </c>
      <c r="D836" s="87">
        <v>0</v>
      </c>
      <c r="E836" s="21">
        <v>0</v>
      </c>
      <c r="F836" s="21">
        <v>0</v>
      </c>
      <c r="G836" s="21">
        <v>0</v>
      </c>
      <c r="H836" s="21">
        <v>0</v>
      </c>
      <c r="I836" s="21">
        <v>0</v>
      </c>
      <c r="J836" s="21">
        <v>0</v>
      </c>
      <c r="K836" s="21">
        <v>0</v>
      </c>
      <c r="L836" s="21">
        <v>1</v>
      </c>
      <c r="M836" s="21">
        <v>3</v>
      </c>
      <c r="N836" s="150">
        <f t="shared" si="960"/>
        <v>4</v>
      </c>
      <c r="O836" s="22">
        <f t="shared" si="961"/>
        <v>0.33333333333333331</v>
      </c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s="9" customFormat="1" ht="15.75">
      <c r="A837" s="37" t="s">
        <v>414</v>
      </c>
      <c r="B837" s="21">
        <v>5</v>
      </c>
      <c r="C837" s="21">
        <v>4</v>
      </c>
      <c r="D837" s="87">
        <v>5</v>
      </c>
      <c r="E837" s="21">
        <v>4</v>
      </c>
      <c r="F837" s="21">
        <v>5</v>
      </c>
      <c r="G837" s="21">
        <v>5</v>
      </c>
      <c r="H837" s="21">
        <v>8</v>
      </c>
      <c r="I837" s="21">
        <v>8</v>
      </c>
      <c r="J837" s="21">
        <v>11</v>
      </c>
      <c r="K837" s="21">
        <v>4</v>
      </c>
      <c r="L837" s="21">
        <v>6</v>
      </c>
      <c r="M837" s="21">
        <v>4</v>
      </c>
      <c r="N837" s="150">
        <f t="shared" si="960"/>
        <v>69</v>
      </c>
      <c r="O837" s="22">
        <f t="shared" si="961"/>
        <v>5.75</v>
      </c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s="9" customFormat="1" ht="15.75">
      <c r="A838" s="37" t="s">
        <v>22</v>
      </c>
      <c r="B838" s="21">
        <v>0</v>
      </c>
      <c r="C838" s="21">
        <v>2</v>
      </c>
      <c r="D838" s="87">
        <v>1</v>
      </c>
      <c r="E838" s="21">
        <v>0</v>
      </c>
      <c r="F838" s="21">
        <v>1</v>
      </c>
      <c r="G838" s="21">
        <v>1</v>
      </c>
      <c r="H838" s="21">
        <v>1</v>
      </c>
      <c r="I838" s="21">
        <v>3</v>
      </c>
      <c r="J838" s="21">
        <f>4+2</f>
        <v>6</v>
      </c>
      <c r="K838" s="21">
        <f>1+1</f>
        <v>2</v>
      </c>
      <c r="L838" s="21">
        <v>3</v>
      </c>
      <c r="M838" s="21">
        <v>1</v>
      </c>
      <c r="N838" s="150">
        <f t="shared" si="960"/>
        <v>21</v>
      </c>
      <c r="O838" s="22">
        <f t="shared" si="961"/>
        <v>1.75</v>
      </c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s="9" customFormat="1" ht="15.75">
      <c r="A839" s="62" t="s">
        <v>21</v>
      </c>
      <c r="B839" s="24">
        <f t="shared" ref="B839:C839" si="962">SUM(B831:B838)</f>
        <v>21</v>
      </c>
      <c r="C839" s="24">
        <f t="shared" si="962"/>
        <v>29</v>
      </c>
      <c r="D839" s="24">
        <f t="shared" ref="D839:E839" si="963">SUM(D831:D838)</f>
        <v>20</v>
      </c>
      <c r="E839" s="24">
        <f t="shared" si="963"/>
        <v>16</v>
      </c>
      <c r="F839" s="24">
        <f t="shared" ref="F839:G839" si="964">SUM(F831:F838)</f>
        <v>16</v>
      </c>
      <c r="G839" s="24">
        <f t="shared" si="964"/>
        <v>26</v>
      </c>
      <c r="H839" s="24">
        <f t="shared" ref="H839:I839" si="965">SUM(H831:H838)</f>
        <v>25</v>
      </c>
      <c r="I839" s="24">
        <f t="shared" si="965"/>
        <v>29</v>
      </c>
      <c r="J839" s="24">
        <f t="shared" ref="J839:K839" si="966">SUM(J831:J838)</f>
        <v>59</v>
      </c>
      <c r="K839" s="24">
        <f t="shared" si="966"/>
        <v>21</v>
      </c>
      <c r="L839" s="24">
        <f t="shared" ref="L839:M839" si="967">SUM(L831:L838)</f>
        <v>25</v>
      </c>
      <c r="M839" s="24">
        <f t="shared" si="967"/>
        <v>26</v>
      </c>
      <c r="N839" s="144">
        <f>SUM(N831:N838)</f>
        <v>313</v>
      </c>
      <c r="O839" s="25">
        <f>SUM(O831:O838)</f>
        <v>26.083333333333332</v>
      </c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s="9" customFormat="1" ht="15.75">
      <c r="A840" s="62" t="s">
        <v>112</v>
      </c>
      <c r="B840" s="25">
        <f t="shared" ref="B840:G840" si="968">IF(B839=0,"",B839/B$1870)</f>
        <v>0.67741935483870963</v>
      </c>
      <c r="C840" s="25">
        <f t="shared" si="968"/>
        <v>1.0357142857142858</v>
      </c>
      <c r="D840" s="25">
        <f t="shared" si="968"/>
        <v>0.64516129032258063</v>
      </c>
      <c r="E840" s="25">
        <f t="shared" si="968"/>
        <v>0.53333333333333333</v>
      </c>
      <c r="F840" s="25">
        <f t="shared" si="968"/>
        <v>0.5161290322580645</v>
      </c>
      <c r="G840" s="25">
        <f t="shared" si="968"/>
        <v>0.8666666666666667</v>
      </c>
      <c r="H840" s="25">
        <f t="shared" ref="H840:I840" si="969">IF(H839=0,"",H839/H$1870)</f>
        <v>0.80645161290322576</v>
      </c>
      <c r="I840" s="25">
        <f t="shared" si="969"/>
        <v>0.93548387096774188</v>
      </c>
      <c r="J840" s="25">
        <f t="shared" ref="J840:K840" si="970">IF(J839=0,"",J839/J$1870)</f>
        <v>1.9666666666666666</v>
      </c>
      <c r="K840" s="25">
        <f t="shared" si="970"/>
        <v>0.67741935483870963</v>
      </c>
      <c r="L840" s="25">
        <f t="shared" ref="L840:M840" si="971">IF(L839=0,"",L839/L$1870)</f>
        <v>0.83333333333333337</v>
      </c>
      <c r="M840" s="25">
        <f t="shared" si="971"/>
        <v>0.83870967741935487</v>
      </c>
      <c r="N840" s="144">
        <f>SUM(B840:M840)</f>
        <v>10.332488479262674</v>
      </c>
      <c r="O840" s="25">
        <f>IF(N840=0,0,AVERAGE(B840:M840))</f>
        <v>0.86104070660522281</v>
      </c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s="9" customFormat="1">
      <c r="A841" s="26"/>
      <c r="B841" s="27"/>
      <c r="C841" s="27"/>
      <c r="D841" s="27"/>
      <c r="E841" s="28"/>
      <c r="F841" s="28"/>
      <c r="G841" s="28"/>
      <c r="H841" s="28"/>
      <c r="I841" s="28"/>
      <c r="J841" s="28"/>
      <c r="K841" s="28"/>
      <c r="L841" s="28"/>
      <c r="M841" s="28"/>
      <c r="N841" s="151"/>
      <c r="O841" s="16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s="9" customFormat="1" ht="15.75">
      <c r="A842" s="66" t="s">
        <v>771</v>
      </c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49"/>
      <c r="O842" s="19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s="9" customFormat="1" ht="15.75">
      <c r="A843" s="40" t="s">
        <v>18</v>
      </c>
      <c r="B843" s="21">
        <v>0</v>
      </c>
      <c r="C843" s="21">
        <v>1</v>
      </c>
      <c r="D843" s="87">
        <v>1</v>
      </c>
      <c r="E843" s="21">
        <v>1</v>
      </c>
      <c r="F843" s="21">
        <v>1</v>
      </c>
      <c r="G843" s="21">
        <v>2</v>
      </c>
      <c r="H843" s="21">
        <v>0</v>
      </c>
      <c r="I843" s="21">
        <v>1</v>
      </c>
      <c r="J843" s="21">
        <v>2</v>
      </c>
      <c r="K843" s="21">
        <v>1</v>
      </c>
      <c r="L843" s="21">
        <v>0</v>
      </c>
      <c r="M843" s="21">
        <v>4</v>
      </c>
      <c r="N843" s="150">
        <f>SUM(B843:M843)</f>
        <v>14</v>
      </c>
      <c r="O843" s="22">
        <f>IF(N843=0,0,AVERAGE(B843:M843))</f>
        <v>1.1666666666666667</v>
      </c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s="9" customFormat="1" ht="15.75">
      <c r="A844" s="40" t="s">
        <v>19</v>
      </c>
      <c r="B844" s="21">
        <v>12</v>
      </c>
      <c r="C844" s="21">
        <v>14</v>
      </c>
      <c r="D844" s="87">
        <v>8</v>
      </c>
      <c r="E844" s="21">
        <v>7</v>
      </c>
      <c r="F844" s="21">
        <v>6</v>
      </c>
      <c r="G844" s="21">
        <v>11</v>
      </c>
      <c r="H844" s="21">
        <v>14</v>
      </c>
      <c r="I844" s="21">
        <v>10</v>
      </c>
      <c r="J844" s="21">
        <v>30</v>
      </c>
      <c r="K844" s="21">
        <v>9</v>
      </c>
      <c r="L844" s="21">
        <v>11</v>
      </c>
      <c r="M844" s="21">
        <v>9</v>
      </c>
      <c r="N844" s="150">
        <f>SUM(B844:M844)</f>
        <v>141</v>
      </c>
      <c r="O844" s="22">
        <f>IF(N844=0,0,AVERAGE(B844:M844))</f>
        <v>11.75</v>
      </c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s="9" customFormat="1" ht="15.75">
      <c r="A845" s="40" t="s">
        <v>20</v>
      </c>
      <c r="B845" s="21">
        <v>2</v>
      </c>
      <c r="C845" s="21">
        <v>2</v>
      </c>
      <c r="D845" s="87">
        <v>3</v>
      </c>
      <c r="E845" s="21">
        <v>0</v>
      </c>
      <c r="F845" s="21">
        <v>3</v>
      </c>
      <c r="G845" s="21">
        <v>2</v>
      </c>
      <c r="H845" s="21">
        <v>1</v>
      </c>
      <c r="I845" s="21">
        <v>4</v>
      </c>
      <c r="J845" s="21">
        <v>4</v>
      </c>
      <c r="K845" s="21">
        <v>3</v>
      </c>
      <c r="L845" s="21">
        <v>1</v>
      </c>
      <c r="M845" s="21">
        <v>1</v>
      </c>
      <c r="N845" s="150">
        <f>SUM(B845:M845)</f>
        <v>26</v>
      </c>
      <c r="O845" s="22">
        <f>IF(N845=0,0,AVERAGE(B845:M845))</f>
        <v>2.1666666666666665</v>
      </c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s="9" customFormat="1" ht="15.75">
      <c r="A846" s="62" t="s">
        <v>21</v>
      </c>
      <c r="B846" s="24">
        <f t="shared" ref="B846:C846" si="972">SUM(B843:B845)</f>
        <v>14</v>
      </c>
      <c r="C846" s="24">
        <f t="shared" si="972"/>
        <v>17</v>
      </c>
      <c r="D846" s="24">
        <f t="shared" ref="D846:E846" si="973">SUM(D843:D845)</f>
        <v>12</v>
      </c>
      <c r="E846" s="24">
        <f t="shared" si="973"/>
        <v>8</v>
      </c>
      <c r="F846" s="24">
        <f t="shared" ref="F846:G846" si="974">SUM(F843:F845)</f>
        <v>10</v>
      </c>
      <c r="G846" s="24">
        <f t="shared" si="974"/>
        <v>15</v>
      </c>
      <c r="H846" s="24">
        <f t="shared" ref="H846:I846" si="975">SUM(H843:H845)</f>
        <v>15</v>
      </c>
      <c r="I846" s="24">
        <f t="shared" si="975"/>
        <v>15</v>
      </c>
      <c r="J846" s="24">
        <f t="shared" ref="J846:K846" si="976">SUM(J843:J845)</f>
        <v>36</v>
      </c>
      <c r="K846" s="24">
        <f t="shared" si="976"/>
        <v>13</v>
      </c>
      <c r="L846" s="24">
        <f t="shared" ref="L846:M846" si="977">SUM(L843:L845)</f>
        <v>12</v>
      </c>
      <c r="M846" s="24">
        <f t="shared" si="977"/>
        <v>14</v>
      </c>
      <c r="N846" s="144">
        <f>SUM(N843:N845)</f>
        <v>181</v>
      </c>
      <c r="O846" s="25">
        <f>SUM(O843:O845)</f>
        <v>15.083333333333332</v>
      </c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s="9" customFormat="1" ht="15.75">
      <c r="A847" s="62" t="s">
        <v>112</v>
      </c>
      <c r="B847" s="25">
        <f t="shared" ref="B847:G847" si="978">IF(B846=0,"",B846/B$1870)</f>
        <v>0.45161290322580644</v>
      </c>
      <c r="C847" s="25">
        <f t="shared" si="978"/>
        <v>0.6071428571428571</v>
      </c>
      <c r="D847" s="25">
        <f t="shared" si="978"/>
        <v>0.38709677419354838</v>
      </c>
      <c r="E847" s="25">
        <f t="shared" si="978"/>
        <v>0.26666666666666666</v>
      </c>
      <c r="F847" s="25">
        <f t="shared" si="978"/>
        <v>0.32258064516129031</v>
      </c>
      <c r="G847" s="25">
        <f t="shared" si="978"/>
        <v>0.5</v>
      </c>
      <c r="H847" s="25">
        <f t="shared" ref="H847:I847" si="979">IF(H846=0,"",H846/H$1870)</f>
        <v>0.4838709677419355</v>
      </c>
      <c r="I847" s="25">
        <f t="shared" si="979"/>
        <v>0.4838709677419355</v>
      </c>
      <c r="J847" s="25">
        <f t="shared" ref="J847:K847" si="980">IF(J846=0,"",J846/J$1870)</f>
        <v>1.2</v>
      </c>
      <c r="K847" s="25">
        <f t="shared" si="980"/>
        <v>0.41935483870967744</v>
      </c>
      <c r="L847" s="25">
        <f t="shared" ref="L847:M847" si="981">IF(L846=0,"",L846/L$1870)</f>
        <v>0.4</v>
      </c>
      <c r="M847" s="25">
        <f t="shared" si="981"/>
        <v>0.45161290322580644</v>
      </c>
      <c r="N847" s="144">
        <f>SUM(B847:M847)</f>
        <v>5.973809523809523</v>
      </c>
      <c r="O847" s="25">
        <f>IF(N847=0,0,AVERAGE(B847:M847))</f>
        <v>0.49781746031746027</v>
      </c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s="9" customFormat="1">
      <c r="A848" s="33"/>
      <c r="B848" s="34"/>
      <c r="C848" s="34"/>
      <c r="D848" s="34"/>
      <c r="E848" s="35"/>
      <c r="F848" s="35"/>
      <c r="G848" s="35"/>
      <c r="H848" s="35"/>
      <c r="I848" s="35"/>
      <c r="J848" s="35"/>
      <c r="K848" s="35"/>
      <c r="L848" s="35"/>
      <c r="M848" s="35"/>
      <c r="N848" s="153"/>
      <c r="O848" s="16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s="9" customFormat="1" ht="15.75">
      <c r="A849" s="66" t="s">
        <v>772</v>
      </c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49"/>
      <c r="O849" s="19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s="9" customFormat="1" ht="15.75">
      <c r="A850" s="37" t="s">
        <v>178</v>
      </c>
      <c r="B850" s="21">
        <v>30</v>
      </c>
      <c r="C850" s="21">
        <v>29</v>
      </c>
      <c r="D850" s="21">
        <v>66</v>
      </c>
      <c r="E850" s="21">
        <v>10</v>
      </c>
      <c r="F850" s="21">
        <v>13</v>
      </c>
      <c r="G850" s="21">
        <v>33</v>
      </c>
      <c r="H850" s="21">
        <v>1</v>
      </c>
      <c r="I850" s="21">
        <v>41</v>
      </c>
      <c r="J850" s="21">
        <v>50</v>
      </c>
      <c r="K850" s="21">
        <v>40</v>
      </c>
      <c r="L850" s="21">
        <v>26</v>
      </c>
      <c r="M850" s="21">
        <v>46</v>
      </c>
      <c r="N850" s="150">
        <f t="shared" ref="N850:N857" si="982">SUM(B850:M850)</f>
        <v>385</v>
      </c>
      <c r="O850" s="22">
        <f t="shared" ref="O850:O857" si="983">IF(N850=0,0,AVERAGE(B850:M850))</f>
        <v>32.083333333333336</v>
      </c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s="9" customFormat="1" ht="15.75">
      <c r="A851" s="37" t="s">
        <v>179</v>
      </c>
      <c r="B851" s="21">
        <v>2</v>
      </c>
      <c r="C851" s="21">
        <v>0</v>
      </c>
      <c r="D851" s="21">
        <v>0</v>
      </c>
      <c r="E851" s="21">
        <v>0</v>
      </c>
      <c r="F851" s="21">
        <v>0</v>
      </c>
      <c r="G851" s="21">
        <v>0</v>
      </c>
      <c r="H851" s="21">
        <v>0</v>
      </c>
      <c r="I851" s="21">
        <v>0</v>
      </c>
      <c r="J851" s="21">
        <v>1</v>
      </c>
      <c r="K851" s="21">
        <v>2</v>
      </c>
      <c r="L851" s="21">
        <v>1</v>
      </c>
      <c r="M851" s="21">
        <v>1</v>
      </c>
      <c r="N851" s="150">
        <f t="shared" si="982"/>
        <v>7</v>
      </c>
      <c r="O851" s="22">
        <f t="shared" si="983"/>
        <v>0.58333333333333337</v>
      </c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s="9" customFormat="1" ht="15.75">
      <c r="A852" s="37" t="s">
        <v>409</v>
      </c>
      <c r="B852" s="21">
        <v>237</v>
      </c>
      <c r="C852" s="21">
        <v>348</v>
      </c>
      <c r="D852" s="21">
        <v>335</v>
      </c>
      <c r="E852" s="21">
        <v>154</v>
      </c>
      <c r="F852" s="21">
        <v>75</v>
      </c>
      <c r="G852" s="21">
        <v>211</v>
      </c>
      <c r="H852" s="21">
        <v>260</v>
      </c>
      <c r="I852" s="21">
        <v>363</v>
      </c>
      <c r="J852" s="21">
        <v>424</v>
      </c>
      <c r="K852" s="21">
        <v>417</v>
      </c>
      <c r="L852" s="21">
        <v>385</v>
      </c>
      <c r="M852" s="21">
        <v>269</v>
      </c>
      <c r="N852" s="150">
        <f t="shared" si="982"/>
        <v>3478</v>
      </c>
      <c r="O852" s="22">
        <f t="shared" si="983"/>
        <v>289.83333333333331</v>
      </c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s="9" customFormat="1" ht="15.75">
      <c r="A853" s="37" t="s">
        <v>180</v>
      </c>
      <c r="B853" s="21">
        <v>0</v>
      </c>
      <c r="C853" s="21">
        <v>0</v>
      </c>
      <c r="D853" s="21">
        <v>0</v>
      </c>
      <c r="E853" s="21">
        <v>0</v>
      </c>
      <c r="F853" s="21">
        <v>0</v>
      </c>
      <c r="G853" s="21">
        <v>0</v>
      </c>
      <c r="H853" s="21">
        <v>0</v>
      </c>
      <c r="I853" s="21">
        <v>3</v>
      </c>
      <c r="J853" s="21">
        <v>0</v>
      </c>
      <c r="K853" s="21">
        <v>0</v>
      </c>
      <c r="L853" s="21">
        <v>0</v>
      </c>
      <c r="M853" s="21">
        <v>0</v>
      </c>
      <c r="N853" s="150">
        <f t="shared" si="982"/>
        <v>3</v>
      </c>
      <c r="O853" s="22">
        <f t="shared" si="983"/>
        <v>0.25</v>
      </c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s="9" customFormat="1" ht="15.75">
      <c r="A854" s="37" t="s">
        <v>148</v>
      </c>
      <c r="B854" s="21">
        <v>0</v>
      </c>
      <c r="C854" s="21">
        <v>0</v>
      </c>
      <c r="D854" s="21">
        <v>0</v>
      </c>
      <c r="E854" s="21">
        <v>0</v>
      </c>
      <c r="F854" s="21">
        <v>0</v>
      </c>
      <c r="G854" s="21">
        <v>0</v>
      </c>
      <c r="H854" s="21">
        <v>0</v>
      </c>
      <c r="I854" s="21">
        <v>0</v>
      </c>
      <c r="J854" s="21">
        <v>0</v>
      </c>
      <c r="K854" s="21">
        <v>0</v>
      </c>
      <c r="L854" s="21">
        <v>0</v>
      </c>
      <c r="M854" s="21">
        <v>0</v>
      </c>
      <c r="N854" s="150">
        <f t="shared" si="982"/>
        <v>0</v>
      </c>
      <c r="O854" s="22">
        <f t="shared" si="983"/>
        <v>0</v>
      </c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s="9" customFormat="1" ht="15.75">
      <c r="A855" s="37" t="s">
        <v>181</v>
      </c>
      <c r="B855" s="21">
        <v>0</v>
      </c>
      <c r="C855" s="21">
        <v>0</v>
      </c>
      <c r="D855" s="21">
        <v>0</v>
      </c>
      <c r="E855" s="21">
        <v>0</v>
      </c>
      <c r="F855" s="21">
        <v>0</v>
      </c>
      <c r="G855" s="21">
        <v>0</v>
      </c>
      <c r="H855" s="21">
        <v>0</v>
      </c>
      <c r="I855" s="21">
        <v>0</v>
      </c>
      <c r="J855" s="21">
        <v>0</v>
      </c>
      <c r="K855" s="21">
        <v>0</v>
      </c>
      <c r="L855" s="21">
        <v>0</v>
      </c>
      <c r="M855" s="21">
        <v>0</v>
      </c>
      <c r="N855" s="150">
        <f t="shared" si="982"/>
        <v>0</v>
      </c>
      <c r="O855" s="22">
        <f t="shared" si="983"/>
        <v>0</v>
      </c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s="9" customFormat="1" ht="15.75">
      <c r="A856" s="37" t="s">
        <v>414</v>
      </c>
      <c r="B856" s="21">
        <v>198</v>
      </c>
      <c r="C856" s="21">
        <v>287</v>
      </c>
      <c r="D856" s="21">
        <v>248</v>
      </c>
      <c r="E856" s="21">
        <v>125</v>
      </c>
      <c r="F856" s="21">
        <v>58</v>
      </c>
      <c r="G856" s="21">
        <v>165</v>
      </c>
      <c r="H856" s="21">
        <v>215</v>
      </c>
      <c r="I856" s="21">
        <v>271</v>
      </c>
      <c r="J856" s="21">
        <v>347</v>
      </c>
      <c r="K856" s="21">
        <v>371</v>
      </c>
      <c r="L856" s="21">
        <v>350</v>
      </c>
      <c r="M856" s="21">
        <v>225</v>
      </c>
      <c r="N856" s="150">
        <f t="shared" si="982"/>
        <v>2860</v>
      </c>
      <c r="O856" s="22">
        <f t="shared" si="983"/>
        <v>238.33333333333334</v>
      </c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s="9" customFormat="1" ht="15.75">
      <c r="A857" s="37" t="s">
        <v>22</v>
      </c>
      <c r="B857" s="21">
        <v>0</v>
      </c>
      <c r="C857" s="21">
        <v>0</v>
      </c>
      <c r="D857" s="21">
        <v>0</v>
      </c>
      <c r="E857" s="21">
        <v>0</v>
      </c>
      <c r="F857" s="21">
        <v>0</v>
      </c>
      <c r="G857" s="21">
        <v>0</v>
      </c>
      <c r="H857" s="21">
        <v>0</v>
      </c>
      <c r="I857" s="21">
        <v>0</v>
      </c>
      <c r="J857" s="21">
        <v>0</v>
      </c>
      <c r="K857" s="21">
        <v>0</v>
      </c>
      <c r="L857" s="21">
        <v>0</v>
      </c>
      <c r="M857" s="21">
        <v>0</v>
      </c>
      <c r="N857" s="150">
        <f t="shared" si="982"/>
        <v>0</v>
      </c>
      <c r="O857" s="22">
        <f t="shared" si="983"/>
        <v>0</v>
      </c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s="9" customFormat="1" ht="15.75">
      <c r="A858" s="62" t="s">
        <v>21</v>
      </c>
      <c r="B858" s="24">
        <f t="shared" ref="B858:C858" si="984">SUM(B850:B857)</f>
        <v>467</v>
      </c>
      <c r="C858" s="24">
        <f t="shared" si="984"/>
        <v>664</v>
      </c>
      <c r="D858" s="24">
        <f t="shared" ref="D858:E858" si="985">SUM(D850:D857)</f>
        <v>649</v>
      </c>
      <c r="E858" s="24">
        <f t="shared" si="985"/>
        <v>289</v>
      </c>
      <c r="F858" s="24">
        <f t="shared" ref="F858:G858" si="986">SUM(F850:F857)</f>
        <v>146</v>
      </c>
      <c r="G858" s="24">
        <f t="shared" si="986"/>
        <v>409</v>
      </c>
      <c r="H858" s="24">
        <f t="shared" ref="H858:I858" si="987">SUM(H850:H857)</f>
        <v>476</v>
      </c>
      <c r="I858" s="24">
        <f t="shared" si="987"/>
        <v>678</v>
      </c>
      <c r="J858" s="24">
        <f t="shared" ref="J858:K858" si="988">SUM(J850:J857)</f>
        <v>822</v>
      </c>
      <c r="K858" s="24">
        <f t="shared" si="988"/>
        <v>830</v>
      </c>
      <c r="L858" s="24">
        <f t="shared" ref="L858:M858" si="989">SUM(L850:L857)</f>
        <v>762</v>
      </c>
      <c r="M858" s="24">
        <f t="shared" si="989"/>
        <v>541</v>
      </c>
      <c r="N858" s="144">
        <f>SUM(N850:N857)</f>
        <v>6733</v>
      </c>
      <c r="O858" s="25">
        <f>SUM(O850:O857)</f>
        <v>561.08333333333337</v>
      </c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s="9" customFormat="1" ht="15.75">
      <c r="A859" s="62" t="s">
        <v>112</v>
      </c>
      <c r="B859" s="25">
        <f t="shared" ref="B859:G859" si="990">IF(B858=0,"",B858/B$1870)</f>
        <v>15.064516129032258</v>
      </c>
      <c r="C859" s="25">
        <f t="shared" si="990"/>
        <v>23.714285714285715</v>
      </c>
      <c r="D859" s="25">
        <f t="shared" si="990"/>
        <v>20.93548387096774</v>
      </c>
      <c r="E859" s="25">
        <f t="shared" si="990"/>
        <v>9.6333333333333329</v>
      </c>
      <c r="F859" s="25">
        <f t="shared" si="990"/>
        <v>4.709677419354839</v>
      </c>
      <c r="G859" s="25">
        <f t="shared" si="990"/>
        <v>13.633333333333333</v>
      </c>
      <c r="H859" s="25">
        <f t="shared" ref="H859:I859" si="991">IF(H858=0,"",H858/H$1870)</f>
        <v>15.35483870967742</v>
      </c>
      <c r="I859" s="25">
        <f t="shared" si="991"/>
        <v>21.870967741935484</v>
      </c>
      <c r="J859" s="25">
        <f t="shared" ref="J859:K859" si="992">IF(J858=0,"",J858/J$1870)</f>
        <v>27.4</v>
      </c>
      <c r="K859" s="25">
        <f t="shared" si="992"/>
        <v>26.774193548387096</v>
      </c>
      <c r="L859" s="25">
        <f t="shared" ref="L859:M859" si="993">IF(L858=0,"",L858/L$1870)</f>
        <v>25.4</v>
      </c>
      <c r="M859" s="25">
        <f t="shared" si="993"/>
        <v>17.451612903225808</v>
      </c>
      <c r="N859" s="144">
        <f>SUM(B859:M859)</f>
        <v>221.94224270353305</v>
      </c>
      <c r="O859" s="25">
        <f>IF(N859=0,0,AVERAGE(B859:M859))</f>
        <v>18.495186891961087</v>
      </c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s="9" customFormat="1">
      <c r="A860" s="26"/>
      <c r="B860" s="27"/>
      <c r="C860" s="27"/>
      <c r="D860" s="27"/>
      <c r="E860" s="27"/>
      <c r="F860" s="27"/>
      <c r="G860" s="28"/>
      <c r="H860" s="28"/>
      <c r="I860" s="28"/>
      <c r="J860" s="28"/>
      <c r="K860" s="28"/>
      <c r="L860" s="28"/>
      <c r="M860" s="28"/>
      <c r="N860" s="151"/>
      <c r="O860" s="16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s="9" customFormat="1" ht="15.75">
      <c r="A861" s="97" t="s">
        <v>153</v>
      </c>
      <c r="B861" s="92">
        <f t="shared" ref="B861:C861" si="994">B833</f>
        <v>14</v>
      </c>
      <c r="C861" s="92">
        <f t="shared" si="994"/>
        <v>17</v>
      </c>
      <c r="D861" s="92">
        <f t="shared" ref="D861:E861" si="995">D833</f>
        <v>12</v>
      </c>
      <c r="E861" s="92">
        <f t="shared" si="995"/>
        <v>8</v>
      </c>
      <c r="F861" s="92">
        <f t="shared" ref="F861:G861" si="996">F833</f>
        <v>10</v>
      </c>
      <c r="G861" s="92">
        <f t="shared" si="996"/>
        <v>15</v>
      </c>
      <c r="H861" s="92">
        <f t="shared" ref="H861:I861" si="997">H833</f>
        <v>15</v>
      </c>
      <c r="I861" s="92">
        <f t="shared" si="997"/>
        <v>15</v>
      </c>
      <c r="J861" s="92">
        <f t="shared" ref="J861:K861" si="998">J833</f>
        <v>36</v>
      </c>
      <c r="K861" s="92">
        <f t="shared" si="998"/>
        <v>13</v>
      </c>
      <c r="L861" s="92">
        <f t="shared" ref="L861:M861" si="999">L833</f>
        <v>12</v>
      </c>
      <c r="M861" s="92">
        <f t="shared" si="999"/>
        <v>14</v>
      </c>
      <c r="N861" s="150">
        <f>N839</f>
        <v>313</v>
      </c>
      <c r="O861" s="22">
        <f>O839</f>
        <v>26.083333333333332</v>
      </c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s="9" customFormat="1" ht="15.75">
      <c r="A862" s="97" t="s">
        <v>154</v>
      </c>
      <c r="B862" s="92">
        <f t="shared" ref="B862:C862" si="1000">B852</f>
        <v>237</v>
      </c>
      <c r="C862" s="92">
        <f t="shared" si="1000"/>
        <v>348</v>
      </c>
      <c r="D862" s="92">
        <f t="shared" ref="D862:E862" si="1001">D852</f>
        <v>335</v>
      </c>
      <c r="E862" s="92">
        <f t="shared" si="1001"/>
        <v>154</v>
      </c>
      <c r="F862" s="92">
        <f t="shared" ref="F862:G862" si="1002">F852</f>
        <v>75</v>
      </c>
      <c r="G862" s="92">
        <f t="shared" si="1002"/>
        <v>211</v>
      </c>
      <c r="H862" s="92">
        <f t="shared" ref="H862:I862" si="1003">H852</f>
        <v>260</v>
      </c>
      <c r="I862" s="92">
        <f t="shared" si="1003"/>
        <v>363</v>
      </c>
      <c r="J862" s="92">
        <f t="shared" ref="J862:K862" si="1004">J852</f>
        <v>424</v>
      </c>
      <c r="K862" s="92">
        <f t="shared" si="1004"/>
        <v>417</v>
      </c>
      <c r="L862" s="92">
        <f t="shared" ref="L862:M862" si="1005">L852</f>
        <v>385</v>
      </c>
      <c r="M862" s="92">
        <f t="shared" si="1005"/>
        <v>269</v>
      </c>
      <c r="N862" s="150">
        <f>N858</f>
        <v>6733</v>
      </c>
      <c r="O862" s="22">
        <f>O858</f>
        <v>561.08333333333337</v>
      </c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s="9" customFormat="1">
      <c r="A863" s="108"/>
      <c r="B863" s="109"/>
      <c r="C863" s="109"/>
      <c r="D863" s="109"/>
      <c r="E863" s="109"/>
      <c r="F863" s="109"/>
      <c r="G863" s="109"/>
      <c r="H863" s="109"/>
      <c r="I863" s="109"/>
      <c r="J863" s="109"/>
      <c r="K863" s="109"/>
      <c r="L863" s="109"/>
      <c r="M863" s="109"/>
      <c r="N863" s="160"/>
      <c r="O863" s="16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s="9" customFormat="1" ht="15.75">
      <c r="A864" s="17" t="s">
        <v>773</v>
      </c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49"/>
      <c r="O864" s="19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s="9" customFormat="1" ht="15.75">
      <c r="A865" s="66" t="s">
        <v>774</v>
      </c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49"/>
      <c r="O865" s="19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s="9" customFormat="1" ht="15.75">
      <c r="A866" s="37" t="s">
        <v>178</v>
      </c>
      <c r="B866" s="21">
        <f t="shared" ref="B866:C866" si="1006">B876+B893</f>
        <v>17</v>
      </c>
      <c r="C866" s="21">
        <f t="shared" si="1006"/>
        <v>11</v>
      </c>
      <c r="D866" s="21">
        <f t="shared" ref="D866:E866" si="1007">D876+D893</f>
        <v>23</v>
      </c>
      <c r="E866" s="21">
        <f t="shared" si="1007"/>
        <v>7</v>
      </c>
      <c r="F866" s="21">
        <f t="shared" ref="F866:G866" si="1008">F876+F893</f>
        <v>8</v>
      </c>
      <c r="G866" s="21">
        <f t="shared" si="1008"/>
        <v>28</v>
      </c>
      <c r="H866" s="21">
        <f t="shared" ref="H866:I866" si="1009">H876+H893</f>
        <v>4</v>
      </c>
      <c r="I866" s="21">
        <f t="shared" si="1009"/>
        <v>30</v>
      </c>
      <c r="J866" s="21">
        <f t="shared" ref="J866:K866" si="1010">J876+J893</f>
        <v>19</v>
      </c>
      <c r="K866" s="21">
        <f t="shared" si="1010"/>
        <v>14</v>
      </c>
      <c r="L866" s="21">
        <f t="shared" ref="L866:M866" si="1011">L876+L893</f>
        <v>19</v>
      </c>
      <c r="M866" s="21">
        <f t="shared" si="1011"/>
        <v>15</v>
      </c>
      <c r="N866" s="150">
        <f t="shared" ref="N866:N871" si="1012">SUM(B866:M866)</f>
        <v>195</v>
      </c>
      <c r="O866" s="22">
        <f t="shared" ref="O866:O871" si="1013">IF(N866=0,0,AVERAGE(B866:M866))</f>
        <v>16.25</v>
      </c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s="9" customFormat="1" ht="15.75">
      <c r="A867" s="37" t="s">
        <v>182</v>
      </c>
      <c r="B867" s="21">
        <f t="shared" ref="B867:C871" si="1014">B877+B894</f>
        <v>85</v>
      </c>
      <c r="C867" s="21">
        <f t="shared" si="1014"/>
        <v>70</v>
      </c>
      <c r="D867" s="21">
        <f t="shared" ref="D867:E867" si="1015">D877+D894</f>
        <v>77</v>
      </c>
      <c r="E867" s="21">
        <f t="shared" si="1015"/>
        <v>18</v>
      </c>
      <c r="F867" s="21">
        <f t="shared" ref="F867:G867" si="1016">F877+F894</f>
        <v>21</v>
      </c>
      <c r="G867" s="21">
        <f t="shared" si="1016"/>
        <v>63</v>
      </c>
      <c r="H867" s="21">
        <f t="shared" ref="H867:I867" si="1017">H877+H894</f>
        <v>87</v>
      </c>
      <c r="I867" s="21">
        <f t="shared" si="1017"/>
        <v>89</v>
      </c>
      <c r="J867" s="21">
        <f t="shared" ref="J867:K867" si="1018">J877+J894</f>
        <v>94</v>
      </c>
      <c r="K867" s="21">
        <f t="shared" si="1018"/>
        <v>77</v>
      </c>
      <c r="L867" s="21">
        <f t="shared" ref="L867:M867" si="1019">L877+L894</f>
        <v>69</v>
      </c>
      <c r="M867" s="21">
        <f t="shared" si="1019"/>
        <v>89</v>
      </c>
      <c r="N867" s="150">
        <f t="shared" si="1012"/>
        <v>839</v>
      </c>
      <c r="O867" s="22">
        <f t="shared" si="1013"/>
        <v>69.916666666666671</v>
      </c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s="9" customFormat="1" ht="15.75">
      <c r="A868" s="37" t="s">
        <v>180</v>
      </c>
      <c r="B868" s="21">
        <f t="shared" si="1014"/>
        <v>0</v>
      </c>
      <c r="C868" s="21">
        <f t="shared" si="1014"/>
        <v>0</v>
      </c>
      <c r="D868" s="21">
        <f t="shared" ref="D868:E868" si="1020">D878+D895</f>
        <v>0</v>
      </c>
      <c r="E868" s="21">
        <f t="shared" si="1020"/>
        <v>0</v>
      </c>
      <c r="F868" s="21">
        <f t="shared" ref="F868:G868" si="1021">F878+F895</f>
        <v>0</v>
      </c>
      <c r="G868" s="21">
        <f t="shared" si="1021"/>
        <v>0</v>
      </c>
      <c r="H868" s="21">
        <f t="shared" ref="H868:I868" si="1022">H878+H895</f>
        <v>0</v>
      </c>
      <c r="I868" s="21">
        <f t="shared" si="1022"/>
        <v>0</v>
      </c>
      <c r="J868" s="21">
        <f t="shared" ref="J868:K868" si="1023">J878+J895</f>
        <v>0</v>
      </c>
      <c r="K868" s="21">
        <f t="shared" si="1023"/>
        <v>0</v>
      </c>
      <c r="L868" s="21">
        <f t="shared" ref="L868:M868" si="1024">L878+L895</f>
        <v>0</v>
      </c>
      <c r="M868" s="21">
        <f t="shared" si="1024"/>
        <v>0</v>
      </c>
      <c r="N868" s="150">
        <f t="shared" si="1012"/>
        <v>0</v>
      </c>
      <c r="O868" s="22">
        <f t="shared" si="1013"/>
        <v>0</v>
      </c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s="9" customFormat="1" ht="15.75">
      <c r="A869" s="37" t="s">
        <v>183</v>
      </c>
      <c r="B869" s="21">
        <f t="shared" si="1014"/>
        <v>0</v>
      </c>
      <c r="C869" s="21">
        <f t="shared" si="1014"/>
        <v>0</v>
      </c>
      <c r="D869" s="21">
        <f t="shared" ref="D869:E869" si="1025">D879+D896</f>
        <v>0</v>
      </c>
      <c r="E869" s="21">
        <f t="shared" si="1025"/>
        <v>0</v>
      </c>
      <c r="F869" s="21">
        <f t="shared" ref="F869:G869" si="1026">F879+F896</f>
        <v>0</v>
      </c>
      <c r="G869" s="21">
        <f t="shared" si="1026"/>
        <v>0</v>
      </c>
      <c r="H869" s="21">
        <f t="shared" ref="H869:I869" si="1027">H879+H896</f>
        <v>0</v>
      </c>
      <c r="I869" s="21">
        <f t="shared" si="1027"/>
        <v>0</v>
      </c>
      <c r="J869" s="21">
        <f t="shared" ref="J869:K869" si="1028">J879+J896</f>
        <v>0</v>
      </c>
      <c r="K869" s="21">
        <f t="shared" si="1028"/>
        <v>0</v>
      </c>
      <c r="L869" s="21">
        <f t="shared" ref="L869:M869" si="1029">L879+L896</f>
        <v>0</v>
      </c>
      <c r="M869" s="21">
        <f t="shared" si="1029"/>
        <v>0</v>
      </c>
      <c r="N869" s="150">
        <f t="shared" si="1012"/>
        <v>0</v>
      </c>
      <c r="O869" s="22">
        <f t="shared" si="1013"/>
        <v>0</v>
      </c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s="9" customFormat="1" ht="15.75">
      <c r="A870" s="37" t="s">
        <v>184</v>
      </c>
      <c r="B870" s="21">
        <f t="shared" si="1014"/>
        <v>9</v>
      </c>
      <c r="C870" s="21">
        <f t="shared" si="1014"/>
        <v>5</v>
      </c>
      <c r="D870" s="21">
        <f t="shared" ref="D870:E870" si="1030">D880+D897</f>
        <v>11</v>
      </c>
      <c r="E870" s="21">
        <f t="shared" si="1030"/>
        <v>6</v>
      </c>
      <c r="F870" s="21">
        <f t="shared" ref="F870:G870" si="1031">F880+F897</f>
        <v>2</v>
      </c>
      <c r="G870" s="21">
        <f t="shared" si="1031"/>
        <v>8</v>
      </c>
      <c r="H870" s="21">
        <f t="shared" ref="H870:I870" si="1032">H880+H897</f>
        <v>11</v>
      </c>
      <c r="I870" s="21">
        <f t="shared" si="1032"/>
        <v>6</v>
      </c>
      <c r="J870" s="21">
        <f t="shared" ref="J870:K870" si="1033">J880+J897</f>
        <v>2</v>
      </c>
      <c r="K870" s="21">
        <f t="shared" si="1033"/>
        <v>3</v>
      </c>
      <c r="L870" s="21">
        <f t="shared" ref="L870:M870" si="1034">L880+L897</f>
        <v>2</v>
      </c>
      <c r="M870" s="21">
        <f t="shared" si="1034"/>
        <v>4</v>
      </c>
      <c r="N870" s="150">
        <f t="shared" si="1012"/>
        <v>69</v>
      </c>
      <c r="O870" s="22">
        <f t="shared" si="1013"/>
        <v>5.75</v>
      </c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s="9" customFormat="1" ht="15.75">
      <c r="A871" s="40" t="s">
        <v>22</v>
      </c>
      <c r="B871" s="21">
        <f t="shared" si="1014"/>
        <v>0</v>
      </c>
      <c r="C871" s="21">
        <f t="shared" si="1014"/>
        <v>0</v>
      </c>
      <c r="D871" s="21">
        <f t="shared" ref="D871:E871" si="1035">D881+D898</f>
        <v>0</v>
      </c>
      <c r="E871" s="21">
        <f t="shared" si="1035"/>
        <v>0</v>
      </c>
      <c r="F871" s="21">
        <f t="shared" ref="F871:G871" si="1036">F881+F898</f>
        <v>0</v>
      </c>
      <c r="G871" s="21">
        <f t="shared" si="1036"/>
        <v>0</v>
      </c>
      <c r="H871" s="21">
        <f t="shared" ref="H871:I871" si="1037">H881+H898</f>
        <v>0</v>
      </c>
      <c r="I871" s="21">
        <f t="shared" si="1037"/>
        <v>0</v>
      </c>
      <c r="J871" s="21">
        <f t="shared" ref="J871:K871" si="1038">J881+J898</f>
        <v>0</v>
      </c>
      <c r="K871" s="21">
        <f t="shared" si="1038"/>
        <v>0</v>
      </c>
      <c r="L871" s="21">
        <f t="shared" ref="L871:M871" si="1039">L881+L898</f>
        <v>0</v>
      </c>
      <c r="M871" s="21">
        <f t="shared" si="1039"/>
        <v>0</v>
      </c>
      <c r="N871" s="150">
        <f t="shared" si="1012"/>
        <v>0</v>
      </c>
      <c r="O871" s="22">
        <f t="shared" si="1013"/>
        <v>0</v>
      </c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s="9" customFormat="1" ht="15.75">
      <c r="A872" s="62" t="s">
        <v>21</v>
      </c>
      <c r="B872" s="24">
        <f t="shared" ref="B872:C872" si="1040">SUM(B866:B871)</f>
        <v>111</v>
      </c>
      <c r="C872" s="24">
        <f t="shared" si="1040"/>
        <v>86</v>
      </c>
      <c r="D872" s="24">
        <f t="shared" ref="D872:E872" si="1041">SUM(D866:D871)</f>
        <v>111</v>
      </c>
      <c r="E872" s="24">
        <f t="shared" si="1041"/>
        <v>31</v>
      </c>
      <c r="F872" s="24">
        <f t="shared" ref="F872:G872" si="1042">SUM(F866:F871)</f>
        <v>31</v>
      </c>
      <c r="G872" s="24">
        <f t="shared" si="1042"/>
        <v>99</v>
      </c>
      <c r="H872" s="24">
        <f t="shared" ref="H872:I872" si="1043">SUM(H866:H871)</f>
        <v>102</v>
      </c>
      <c r="I872" s="24">
        <f t="shared" si="1043"/>
        <v>125</v>
      </c>
      <c r="J872" s="24">
        <f t="shared" ref="J872:K872" si="1044">SUM(J866:J871)</f>
        <v>115</v>
      </c>
      <c r="K872" s="24">
        <f t="shared" si="1044"/>
        <v>94</v>
      </c>
      <c r="L872" s="24">
        <f t="shared" ref="L872:M872" si="1045">SUM(L866:L871)</f>
        <v>90</v>
      </c>
      <c r="M872" s="24">
        <f t="shared" si="1045"/>
        <v>108</v>
      </c>
      <c r="N872" s="144">
        <f>SUM(N866:N871)</f>
        <v>1103</v>
      </c>
      <c r="O872" s="25">
        <f>SUM(O866:O871)</f>
        <v>91.916666666666671</v>
      </c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s="9" customFormat="1" ht="15.75">
      <c r="A873" s="62" t="s">
        <v>112</v>
      </c>
      <c r="B873" s="25">
        <f t="shared" ref="B873:G873" si="1046">IF(B872=0,"",B872/B$1870)</f>
        <v>3.5806451612903225</v>
      </c>
      <c r="C873" s="25">
        <f t="shared" si="1046"/>
        <v>3.0714285714285716</v>
      </c>
      <c r="D873" s="25">
        <f t="shared" si="1046"/>
        <v>3.5806451612903225</v>
      </c>
      <c r="E873" s="25">
        <f t="shared" si="1046"/>
        <v>1.0333333333333334</v>
      </c>
      <c r="F873" s="25">
        <f t="shared" si="1046"/>
        <v>1</v>
      </c>
      <c r="G873" s="25">
        <f t="shared" si="1046"/>
        <v>3.3</v>
      </c>
      <c r="H873" s="25">
        <f t="shared" ref="H873:I873" si="1047">IF(H872=0,"",H872/H$1870)</f>
        <v>3.2903225806451615</v>
      </c>
      <c r="I873" s="25">
        <f t="shared" si="1047"/>
        <v>4.032258064516129</v>
      </c>
      <c r="J873" s="25">
        <f t="shared" ref="J873:K873" si="1048">IF(J872=0,"",J872/J$1870)</f>
        <v>3.8333333333333335</v>
      </c>
      <c r="K873" s="25">
        <f t="shared" si="1048"/>
        <v>3.032258064516129</v>
      </c>
      <c r="L873" s="25">
        <f t="shared" ref="L873:M873" si="1049">IF(L872=0,"",L872/L$1870)</f>
        <v>3</v>
      </c>
      <c r="M873" s="25">
        <f t="shared" si="1049"/>
        <v>3.4838709677419355</v>
      </c>
      <c r="N873" s="144">
        <f>SUM(B873:M873)</f>
        <v>36.238095238095234</v>
      </c>
      <c r="O873" s="25">
        <f>IF(N873=0,0,AVERAGE(B873:M873))</f>
        <v>3.0198412698412693</v>
      </c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s="9" customFormat="1">
      <c r="A874" s="33"/>
      <c r="B874" s="34"/>
      <c r="C874" s="34"/>
      <c r="D874" s="34"/>
      <c r="E874" s="35"/>
      <c r="F874" s="35"/>
      <c r="G874" s="35"/>
      <c r="H874" s="35"/>
      <c r="I874" s="35"/>
      <c r="J874" s="35"/>
      <c r="K874" s="35"/>
      <c r="L874" s="35"/>
      <c r="M874" s="35"/>
      <c r="N874" s="153"/>
      <c r="O874" s="16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s="9" customFormat="1" ht="15.75">
      <c r="A875" s="66" t="s">
        <v>775</v>
      </c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49"/>
      <c r="O875" s="19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s="9" customFormat="1" ht="15.75">
      <c r="A876" s="37" t="s">
        <v>178</v>
      </c>
      <c r="B876" s="21">
        <v>1</v>
      </c>
      <c r="C876" s="21">
        <v>0</v>
      </c>
      <c r="D876" s="21">
        <v>1</v>
      </c>
      <c r="E876" s="21">
        <v>1</v>
      </c>
      <c r="F876" s="21">
        <v>0</v>
      </c>
      <c r="G876" s="21">
        <v>0</v>
      </c>
      <c r="H876" s="21">
        <v>2</v>
      </c>
      <c r="I876" s="21">
        <v>0</v>
      </c>
      <c r="J876" s="21">
        <v>0</v>
      </c>
      <c r="K876" s="21">
        <v>0</v>
      </c>
      <c r="L876" s="21">
        <v>0</v>
      </c>
      <c r="M876" s="21">
        <v>0</v>
      </c>
      <c r="N876" s="150">
        <f t="shared" ref="N876:N881" si="1050">SUM(B876:M876)</f>
        <v>5</v>
      </c>
      <c r="O876" s="22">
        <f t="shared" ref="O876:O881" si="1051">IF(N876=0,0,AVERAGE(B876:M876))</f>
        <v>0.41666666666666669</v>
      </c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s="9" customFormat="1" ht="15.75">
      <c r="A877" s="37" t="s">
        <v>182</v>
      </c>
      <c r="B877" s="21">
        <v>7</v>
      </c>
      <c r="C877" s="21">
        <v>2</v>
      </c>
      <c r="D877" s="21">
        <v>3</v>
      </c>
      <c r="E877" s="21">
        <v>0</v>
      </c>
      <c r="F877" s="21">
        <v>2</v>
      </c>
      <c r="G877" s="21">
        <f>1+3</f>
        <v>4</v>
      </c>
      <c r="H877" s="21">
        <v>6</v>
      </c>
      <c r="I877" s="21">
        <v>2</v>
      </c>
      <c r="J877" s="21">
        <f>2+4+1</f>
        <v>7</v>
      </c>
      <c r="K877" s="21">
        <v>3</v>
      </c>
      <c r="L877" s="21">
        <v>2</v>
      </c>
      <c r="M877" s="21">
        <v>1</v>
      </c>
      <c r="N877" s="150">
        <f t="shared" si="1050"/>
        <v>39</v>
      </c>
      <c r="O877" s="22">
        <f t="shared" si="1051"/>
        <v>3.25</v>
      </c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s="9" customFormat="1" ht="15.75">
      <c r="A878" s="37" t="s">
        <v>180</v>
      </c>
      <c r="B878" s="21">
        <v>0</v>
      </c>
      <c r="C878" s="21">
        <v>0</v>
      </c>
      <c r="D878" s="21">
        <v>0</v>
      </c>
      <c r="E878" s="21">
        <v>0</v>
      </c>
      <c r="F878" s="21">
        <v>0</v>
      </c>
      <c r="G878" s="21">
        <v>0</v>
      </c>
      <c r="H878" s="21">
        <v>0</v>
      </c>
      <c r="I878" s="21">
        <v>0</v>
      </c>
      <c r="J878" s="21">
        <v>0</v>
      </c>
      <c r="K878" s="21">
        <v>0</v>
      </c>
      <c r="L878" s="21">
        <v>0</v>
      </c>
      <c r="M878" s="21">
        <v>0</v>
      </c>
      <c r="N878" s="150">
        <f t="shared" si="1050"/>
        <v>0</v>
      </c>
      <c r="O878" s="22">
        <f t="shared" si="1051"/>
        <v>0</v>
      </c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s="9" customFormat="1" ht="15.75">
      <c r="A879" s="37" t="s">
        <v>183</v>
      </c>
      <c r="B879" s="21">
        <v>0</v>
      </c>
      <c r="C879" s="21">
        <v>0</v>
      </c>
      <c r="D879" s="21">
        <v>0</v>
      </c>
      <c r="E879" s="21">
        <v>0</v>
      </c>
      <c r="F879" s="21">
        <v>0</v>
      </c>
      <c r="G879" s="21">
        <v>0</v>
      </c>
      <c r="H879" s="21">
        <v>0</v>
      </c>
      <c r="I879" s="21">
        <v>0</v>
      </c>
      <c r="J879" s="21">
        <v>0</v>
      </c>
      <c r="K879" s="21">
        <v>0</v>
      </c>
      <c r="L879" s="21">
        <v>0</v>
      </c>
      <c r="M879" s="21">
        <v>0</v>
      </c>
      <c r="N879" s="150">
        <f t="shared" si="1050"/>
        <v>0</v>
      </c>
      <c r="O879" s="22">
        <f t="shared" si="1051"/>
        <v>0</v>
      </c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s="9" customFormat="1" ht="15.75">
      <c r="A880" s="37" t="s">
        <v>184</v>
      </c>
      <c r="B880" s="21">
        <v>0</v>
      </c>
      <c r="C880" s="21">
        <v>1</v>
      </c>
      <c r="D880" s="21">
        <v>0</v>
      </c>
      <c r="E880" s="21">
        <v>1</v>
      </c>
      <c r="F880" s="21">
        <v>0</v>
      </c>
      <c r="G880" s="21">
        <v>1</v>
      </c>
      <c r="H880" s="21">
        <v>1</v>
      </c>
      <c r="I880" s="21">
        <v>0</v>
      </c>
      <c r="J880" s="21">
        <v>0</v>
      </c>
      <c r="K880" s="21">
        <v>0</v>
      </c>
      <c r="L880" s="21">
        <v>1</v>
      </c>
      <c r="M880" s="21">
        <v>0</v>
      </c>
      <c r="N880" s="150">
        <f t="shared" si="1050"/>
        <v>5</v>
      </c>
      <c r="O880" s="22">
        <f t="shared" si="1051"/>
        <v>0.41666666666666669</v>
      </c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s="9" customFormat="1" ht="15.75">
      <c r="A881" s="40" t="s">
        <v>22</v>
      </c>
      <c r="B881" s="21">
        <v>0</v>
      </c>
      <c r="C881" s="21">
        <v>0</v>
      </c>
      <c r="D881" s="21">
        <v>0</v>
      </c>
      <c r="E881" s="21">
        <v>0</v>
      </c>
      <c r="F881" s="21">
        <v>0</v>
      </c>
      <c r="G881" s="21">
        <v>0</v>
      </c>
      <c r="H881" s="21">
        <v>0</v>
      </c>
      <c r="I881" s="21">
        <v>0</v>
      </c>
      <c r="J881" s="21">
        <v>0</v>
      </c>
      <c r="K881" s="21">
        <v>0</v>
      </c>
      <c r="L881" s="21">
        <v>0</v>
      </c>
      <c r="M881" s="21">
        <v>0</v>
      </c>
      <c r="N881" s="150">
        <f t="shared" si="1050"/>
        <v>0</v>
      </c>
      <c r="O881" s="22">
        <f t="shared" si="1051"/>
        <v>0</v>
      </c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s="9" customFormat="1" ht="15.75">
      <c r="A882" s="62" t="s">
        <v>21</v>
      </c>
      <c r="B882" s="24">
        <f t="shared" ref="B882:C882" si="1052">SUM(B876:B881)</f>
        <v>8</v>
      </c>
      <c r="C882" s="24">
        <f t="shared" si="1052"/>
        <v>3</v>
      </c>
      <c r="D882" s="24">
        <f t="shared" ref="D882:E882" si="1053">SUM(D876:D881)</f>
        <v>4</v>
      </c>
      <c r="E882" s="24">
        <f t="shared" si="1053"/>
        <v>2</v>
      </c>
      <c r="F882" s="24">
        <f t="shared" ref="F882:G882" si="1054">SUM(F876:F881)</f>
        <v>2</v>
      </c>
      <c r="G882" s="24">
        <f t="shared" si="1054"/>
        <v>5</v>
      </c>
      <c r="H882" s="24">
        <f t="shared" ref="H882:I882" si="1055">SUM(H876:H881)</f>
        <v>9</v>
      </c>
      <c r="I882" s="24">
        <f t="shared" si="1055"/>
        <v>2</v>
      </c>
      <c r="J882" s="24">
        <f t="shared" ref="J882:K882" si="1056">SUM(J876:J881)</f>
        <v>7</v>
      </c>
      <c r="K882" s="24">
        <f t="shared" si="1056"/>
        <v>3</v>
      </c>
      <c r="L882" s="24">
        <f t="shared" ref="L882:M882" si="1057">SUM(L876:L881)</f>
        <v>3</v>
      </c>
      <c r="M882" s="24">
        <f t="shared" si="1057"/>
        <v>1</v>
      </c>
      <c r="N882" s="144">
        <f>SUM(N876:N881)</f>
        <v>49</v>
      </c>
      <c r="O882" s="25">
        <f>SUM(O876:O881)</f>
        <v>4.083333333333333</v>
      </c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s="9" customFormat="1" ht="15.75">
      <c r="A883" s="62" t="s">
        <v>112</v>
      </c>
      <c r="B883" s="25">
        <f t="shared" ref="B883:G883" si="1058">IF(B882=0,"",B882/B$1870)</f>
        <v>0.25806451612903225</v>
      </c>
      <c r="C883" s="25">
        <f t="shared" si="1058"/>
        <v>0.10714285714285714</v>
      </c>
      <c r="D883" s="25">
        <f t="shared" si="1058"/>
        <v>0.12903225806451613</v>
      </c>
      <c r="E883" s="25">
        <f t="shared" si="1058"/>
        <v>6.6666666666666666E-2</v>
      </c>
      <c r="F883" s="25">
        <f t="shared" si="1058"/>
        <v>6.4516129032258063E-2</v>
      </c>
      <c r="G883" s="25">
        <f t="shared" si="1058"/>
        <v>0.16666666666666666</v>
      </c>
      <c r="H883" s="25">
        <f t="shared" ref="H883:I883" si="1059">IF(H882=0,"",H882/H$1870)</f>
        <v>0.29032258064516131</v>
      </c>
      <c r="I883" s="25">
        <f t="shared" si="1059"/>
        <v>6.4516129032258063E-2</v>
      </c>
      <c r="J883" s="25">
        <f t="shared" ref="J883:K883" si="1060">IF(J882=0,"",J882/J$1870)</f>
        <v>0.23333333333333334</v>
      </c>
      <c r="K883" s="25">
        <f t="shared" si="1060"/>
        <v>9.6774193548387094E-2</v>
      </c>
      <c r="L883" s="25">
        <f t="shared" ref="L883:M883" si="1061">IF(L882=0,"",L882/L$1870)</f>
        <v>0.1</v>
      </c>
      <c r="M883" s="25">
        <f t="shared" si="1061"/>
        <v>3.2258064516129031E-2</v>
      </c>
      <c r="N883" s="144">
        <f>SUM(B883:M883)</f>
        <v>1.6092933947772659</v>
      </c>
      <c r="O883" s="25">
        <f>IF(N883=0,0,AVERAGE(B883:M883))</f>
        <v>0.13410778289810549</v>
      </c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s="9" customFormat="1">
      <c r="A884" s="26"/>
      <c r="B884" s="27"/>
      <c r="C884" s="27"/>
      <c r="D884" s="27"/>
      <c r="E884" s="28"/>
      <c r="F884" s="28"/>
      <c r="G884" s="28"/>
      <c r="H884" s="28"/>
      <c r="I884" s="28"/>
      <c r="J884" s="28"/>
      <c r="K884" s="28"/>
      <c r="L884" s="28"/>
      <c r="M884" s="28"/>
      <c r="N884" s="151"/>
      <c r="O884" s="16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s="9" customFormat="1" ht="15.75">
      <c r="A885" s="66" t="s">
        <v>776</v>
      </c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49"/>
      <c r="O885" s="19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s="9" customFormat="1" ht="15.75">
      <c r="A886" s="40" t="s">
        <v>18</v>
      </c>
      <c r="B886" s="21">
        <v>0</v>
      </c>
      <c r="C886" s="21">
        <v>0</v>
      </c>
      <c r="D886" s="21">
        <v>0</v>
      </c>
      <c r="E886" s="21">
        <v>0</v>
      </c>
      <c r="F886" s="21">
        <v>1</v>
      </c>
      <c r="G886" s="21">
        <v>2</v>
      </c>
      <c r="H886" s="21">
        <v>1</v>
      </c>
      <c r="I886" s="21">
        <v>0</v>
      </c>
      <c r="J886" s="21">
        <v>2</v>
      </c>
      <c r="K886" s="21">
        <v>1</v>
      </c>
      <c r="L886" s="21">
        <v>2</v>
      </c>
      <c r="M886" s="21">
        <v>0</v>
      </c>
      <c r="N886" s="150">
        <f>SUM(B886:M886)</f>
        <v>9</v>
      </c>
      <c r="O886" s="22">
        <f>IF(N886=0,0,AVERAGE(B886:M886))</f>
        <v>0.75</v>
      </c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s="9" customFormat="1" ht="15.75">
      <c r="A887" s="40" t="s">
        <v>19</v>
      </c>
      <c r="B887" s="21">
        <v>7</v>
      </c>
      <c r="C887" s="21">
        <v>3</v>
      </c>
      <c r="D887" s="21">
        <v>3</v>
      </c>
      <c r="E887" s="21">
        <v>1</v>
      </c>
      <c r="F887" s="21">
        <v>1</v>
      </c>
      <c r="G887" s="21">
        <v>3</v>
      </c>
      <c r="H887" s="21">
        <v>6</v>
      </c>
      <c r="I887" s="21">
        <v>2</v>
      </c>
      <c r="J887" s="21">
        <v>4</v>
      </c>
      <c r="K887" s="21">
        <v>2</v>
      </c>
      <c r="L887" s="21">
        <v>1</v>
      </c>
      <c r="M887" s="21">
        <v>1</v>
      </c>
      <c r="N887" s="150">
        <f>SUM(B887:M887)</f>
        <v>34</v>
      </c>
      <c r="O887" s="22">
        <f>IF(N887=0,0,AVERAGE(B887:M887))</f>
        <v>2.8333333333333335</v>
      </c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s="9" customFormat="1" ht="15.75">
      <c r="A888" s="40" t="s">
        <v>20</v>
      </c>
      <c r="B888" s="21">
        <v>0</v>
      </c>
      <c r="C888" s="21">
        <v>0</v>
      </c>
      <c r="D888" s="21">
        <v>0</v>
      </c>
      <c r="E888" s="21">
        <v>0</v>
      </c>
      <c r="F888" s="21">
        <v>0</v>
      </c>
      <c r="G888" s="21">
        <v>0</v>
      </c>
      <c r="H888" s="21">
        <v>0</v>
      </c>
      <c r="I888" s="21">
        <v>0</v>
      </c>
      <c r="J888" s="21">
        <v>1</v>
      </c>
      <c r="K888" s="21">
        <v>0</v>
      </c>
      <c r="L888" s="21">
        <v>0</v>
      </c>
      <c r="M888" s="21">
        <v>0</v>
      </c>
      <c r="N888" s="150">
        <f>SUM(B888:M888)</f>
        <v>1</v>
      </c>
      <c r="O888" s="22">
        <f>IF(N888=0,0,AVERAGE(B888:M888))</f>
        <v>8.3333333333333329E-2</v>
      </c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s="9" customFormat="1" ht="15.75">
      <c r="A889" s="62" t="s">
        <v>21</v>
      </c>
      <c r="B889" s="24">
        <f t="shared" ref="B889:C889" si="1062">SUM(B886:B888)</f>
        <v>7</v>
      </c>
      <c r="C889" s="24">
        <f t="shared" si="1062"/>
        <v>3</v>
      </c>
      <c r="D889" s="24">
        <f t="shared" ref="D889:E889" si="1063">SUM(D886:D888)</f>
        <v>3</v>
      </c>
      <c r="E889" s="24">
        <f t="shared" si="1063"/>
        <v>1</v>
      </c>
      <c r="F889" s="24">
        <f t="shared" ref="F889:G889" si="1064">SUM(F886:F888)</f>
        <v>2</v>
      </c>
      <c r="G889" s="24">
        <f t="shared" si="1064"/>
        <v>5</v>
      </c>
      <c r="H889" s="24">
        <f t="shared" ref="H889:I889" si="1065">SUM(H886:H888)</f>
        <v>7</v>
      </c>
      <c r="I889" s="24">
        <f t="shared" si="1065"/>
        <v>2</v>
      </c>
      <c r="J889" s="24">
        <f t="shared" ref="J889:K889" si="1066">SUM(J886:J888)</f>
        <v>7</v>
      </c>
      <c r="K889" s="24">
        <f t="shared" si="1066"/>
        <v>3</v>
      </c>
      <c r="L889" s="24">
        <f t="shared" ref="L889:M889" si="1067">SUM(L886:L888)</f>
        <v>3</v>
      </c>
      <c r="M889" s="24">
        <f t="shared" si="1067"/>
        <v>1</v>
      </c>
      <c r="N889" s="144">
        <f>SUM(N886:N888)</f>
        <v>44</v>
      </c>
      <c r="O889" s="25">
        <f>SUM(O886:O888)</f>
        <v>3.666666666666667</v>
      </c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s="9" customFormat="1" ht="15.75">
      <c r="A890" s="62" t="s">
        <v>112</v>
      </c>
      <c r="B890" s="25">
        <f t="shared" ref="B890:G890" si="1068">IF(B889=0,"",B889/B$1870)</f>
        <v>0.22580645161290322</v>
      </c>
      <c r="C890" s="25">
        <f t="shared" si="1068"/>
        <v>0.10714285714285714</v>
      </c>
      <c r="D890" s="25">
        <f t="shared" si="1068"/>
        <v>9.6774193548387094E-2</v>
      </c>
      <c r="E890" s="25">
        <f t="shared" si="1068"/>
        <v>3.3333333333333333E-2</v>
      </c>
      <c r="F890" s="25">
        <f t="shared" si="1068"/>
        <v>6.4516129032258063E-2</v>
      </c>
      <c r="G890" s="25">
        <f t="shared" si="1068"/>
        <v>0.16666666666666666</v>
      </c>
      <c r="H890" s="25">
        <f t="shared" ref="H890:I890" si="1069">IF(H889=0,"",H889/H$1870)</f>
        <v>0.22580645161290322</v>
      </c>
      <c r="I890" s="25">
        <f t="shared" si="1069"/>
        <v>6.4516129032258063E-2</v>
      </c>
      <c r="J890" s="25">
        <f t="shared" ref="J890:K890" si="1070">IF(J889=0,"",J889/J$1870)</f>
        <v>0.23333333333333334</v>
      </c>
      <c r="K890" s="25">
        <f t="shared" si="1070"/>
        <v>9.6774193548387094E-2</v>
      </c>
      <c r="L890" s="25">
        <f t="shared" ref="L890:M890" si="1071">IF(L889=0,"",L889/L$1870)</f>
        <v>0.1</v>
      </c>
      <c r="M890" s="25">
        <f t="shared" si="1071"/>
        <v>3.2258064516129031E-2</v>
      </c>
      <c r="N890" s="144">
        <f>SUM(B890:M890)</f>
        <v>1.4469278033794164</v>
      </c>
      <c r="O890" s="25">
        <f>IF(N890=0,0,AVERAGE(B890:M890))</f>
        <v>0.1205773169482847</v>
      </c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s="9" customFormat="1">
      <c r="A891" s="26"/>
      <c r="B891" s="27"/>
      <c r="C891" s="27"/>
      <c r="D891" s="27"/>
      <c r="E891" s="28"/>
      <c r="F891" s="28"/>
      <c r="G891" s="28"/>
      <c r="H891" s="28"/>
      <c r="I891" s="28"/>
      <c r="J891" s="28"/>
      <c r="K891" s="28"/>
      <c r="L891" s="28"/>
      <c r="M891" s="28"/>
      <c r="N891" s="151"/>
      <c r="O891" s="16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s="9" customFormat="1" ht="15.75">
      <c r="A892" s="66" t="s">
        <v>777</v>
      </c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49"/>
      <c r="O892" s="19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s="9" customFormat="1" ht="15.75">
      <c r="A893" s="37" t="s">
        <v>178</v>
      </c>
      <c r="B893" s="21">
        <v>16</v>
      </c>
      <c r="C893" s="21">
        <v>11</v>
      </c>
      <c r="D893" s="21">
        <v>22</v>
      </c>
      <c r="E893" s="21">
        <v>6</v>
      </c>
      <c r="F893" s="21">
        <v>8</v>
      </c>
      <c r="G893" s="21">
        <v>28</v>
      </c>
      <c r="H893" s="21">
        <v>2</v>
      </c>
      <c r="I893" s="21">
        <v>30</v>
      </c>
      <c r="J893" s="21">
        <v>19</v>
      </c>
      <c r="K893" s="21">
        <v>14</v>
      </c>
      <c r="L893" s="21">
        <v>19</v>
      </c>
      <c r="M893" s="21">
        <v>15</v>
      </c>
      <c r="N893" s="150">
        <f t="shared" ref="N893:N898" si="1072">SUM(B893:M893)</f>
        <v>190</v>
      </c>
      <c r="O893" s="22">
        <f t="shared" ref="O893:O898" si="1073">IF(N893=0,0,AVERAGE(B893:M893))</f>
        <v>15.833333333333334</v>
      </c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s="9" customFormat="1" ht="15.75">
      <c r="A894" s="37" t="s">
        <v>182</v>
      </c>
      <c r="B894" s="21">
        <v>78</v>
      </c>
      <c r="C894" s="21">
        <v>68</v>
      </c>
      <c r="D894" s="21">
        <v>74</v>
      </c>
      <c r="E894" s="21">
        <v>18</v>
      </c>
      <c r="F894" s="21">
        <v>19</v>
      </c>
      <c r="G894" s="21">
        <v>59</v>
      </c>
      <c r="H894" s="21">
        <v>81</v>
      </c>
      <c r="I894" s="21">
        <v>87</v>
      </c>
      <c r="J894" s="21">
        <v>87</v>
      </c>
      <c r="K894" s="21">
        <v>74</v>
      </c>
      <c r="L894" s="21">
        <v>67</v>
      </c>
      <c r="M894" s="21">
        <v>88</v>
      </c>
      <c r="N894" s="150">
        <f t="shared" si="1072"/>
        <v>800</v>
      </c>
      <c r="O894" s="22">
        <f t="shared" si="1073"/>
        <v>66.666666666666671</v>
      </c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s="9" customFormat="1" ht="15.75">
      <c r="A895" s="37" t="s">
        <v>180</v>
      </c>
      <c r="B895" s="21">
        <v>0</v>
      </c>
      <c r="C895" s="21">
        <v>0</v>
      </c>
      <c r="D895" s="21">
        <v>0</v>
      </c>
      <c r="E895" s="21">
        <v>0</v>
      </c>
      <c r="F895" s="21">
        <v>0</v>
      </c>
      <c r="G895" s="21">
        <v>0</v>
      </c>
      <c r="H895" s="21">
        <v>0</v>
      </c>
      <c r="I895" s="21">
        <v>0</v>
      </c>
      <c r="J895" s="21">
        <v>0</v>
      </c>
      <c r="K895" s="21">
        <v>0</v>
      </c>
      <c r="L895" s="21">
        <v>0</v>
      </c>
      <c r="M895" s="21">
        <v>0</v>
      </c>
      <c r="N895" s="150">
        <f t="shared" si="1072"/>
        <v>0</v>
      </c>
      <c r="O895" s="22">
        <f t="shared" si="1073"/>
        <v>0</v>
      </c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s="9" customFormat="1" ht="15.75">
      <c r="A896" s="37" t="s">
        <v>183</v>
      </c>
      <c r="B896" s="21">
        <v>0</v>
      </c>
      <c r="C896" s="21">
        <v>0</v>
      </c>
      <c r="D896" s="21">
        <v>0</v>
      </c>
      <c r="E896" s="21">
        <v>0</v>
      </c>
      <c r="F896" s="21">
        <v>0</v>
      </c>
      <c r="G896" s="21">
        <v>0</v>
      </c>
      <c r="H896" s="21">
        <v>0</v>
      </c>
      <c r="I896" s="21">
        <v>0</v>
      </c>
      <c r="J896" s="21">
        <v>0</v>
      </c>
      <c r="K896" s="21">
        <v>0</v>
      </c>
      <c r="L896" s="21">
        <v>0</v>
      </c>
      <c r="M896" s="21">
        <v>0</v>
      </c>
      <c r="N896" s="150">
        <f t="shared" si="1072"/>
        <v>0</v>
      </c>
      <c r="O896" s="22">
        <f t="shared" si="1073"/>
        <v>0</v>
      </c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s="9" customFormat="1" ht="15.75">
      <c r="A897" s="37" t="s">
        <v>184</v>
      </c>
      <c r="B897" s="21">
        <v>9</v>
      </c>
      <c r="C897" s="21">
        <v>4</v>
      </c>
      <c r="D897" s="21">
        <v>11</v>
      </c>
      <c r="E897" s="21">
        <v>5</v>
      </c>
      <c r="F897" s="21">
        <v>2</v>
      </c>
      <c r="G897" s="21">
        <v>7</v>
      </c>
      <c r="H897" s="21">
        <v>10</v>
      </c>
      <c r="I897" s="21">
        <v>6</v>
      </c>
      <c r="J897" s="21">
        <v>2</v>
      </c>
      <c r="K897" s="21">
        <v>3</v>
      </c>
      <c r="L897" s="21">
        <v>1</v>
      </c>
      <c r="M897" s="21">
        <v>4</v>
      </c>
      <c r="N897" s="150">
        <f t="shared" si="1072"/>
        <v>64</v>
      </c>
      <c r="O897" s="22">
        <f t="shared" si="1073"/>
        <v>5.333333333333333</v>
      </c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s="9" customFormat="1" ht="15.75">
      <c r="A898" s="40" t="s">
        <v>22</v>
      </c>
      <c r="B898" s="21">
        <v>0</v>
      </c>
      <c r="C898" s="21">
        <v>0</v>
      </c>
      <c r="D898" s="21">
        <v>0</v>
      </c>
      <c r="E898" s="21">
        <v>0</v>
      </c>
      <c r="F898" s="21">
        <v>0</v>
      </c>
      <c r="G898" s="21">
        <v>0</v>
      </c>
      <c r="H898" s="21">
        <v>0</v>
      </c>
      <c r="I898" s="21">
        <v>0</v>
      </c>
      <c r="J898" s="21">
        <v>0</v>
      </c>
      <c r="K898" s="21">
        <v>0</v>
      </c>
      <c r="L898" s="21">
        <v>0</v>
      </c>
      <c r="M898" s="21">
        <v>0</v>
      </c>
      <c r="N898" s="150">
        <f t="shared" si="1072"/>
        <v>0</v>
      </c>
      <c r="O898" s="22">
        <f t="shared" si="1073"/>
        <v>0</v>
      </c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s="9" customFormat="1" ht="15.75">
      <c r="A899" s="62" t="s">
        <v>21</v>
      </c>
      <c r="B899" s="24">
        <f t="shared" ref="B899:C899" si="1074">SUM(B893:B898)</f>
        <v>103</v>
      </c>
      <c r="C899" s="24">
        <f t="shared" si="1074"/>
        <v>83</v>
      </c>
      <c r="D899" s="24">
        <f t="shared" ref="D899:E899" si="1075">SUM(D893:D898)</f>
        <v>107</v>
      </c>
      <c r="E899" s="24">
        <f t="shared" si="1075"/>
        <v>29</v>
      </c>
      <c r="F899" s="24">
        <f t="shared" ref="F899:G899" si="1076">SUM(F893:F898)</f>
        <v>29</v>
      </c>
      <c r="G899" s="24">
        <f t="shared" si="1076"/>
        <v>94</v>
      </c>
      <c r="H899" s="24">
        <f t="shared" ref="H899:I899" si="1077">SUM(H893:H898)</f>
        <v>93</v>
      </c>
      <c r="I899" s="24">
        <f t="shared" si="1077"/>
        <v>123</v>
      </c>
      <c r="J899" s="24">
        <f t="shared" ref="J899:K899" si="1078">SUM(J893:J898)</f>
        <v>108</v>
      </c>
      <c r="K899" s="24">
        <f t="shared" si="1078"/>
        <v>91</v>
      </c>
      <c r="L899" s="24">
        <f t="shared" ref="L899:M899" si="1079">SUM(L893:L898)</f>
        <v>87</v>
      </c>
      <c r="M899" s="24">
        <f t="shared" si="1079"/>
        <v>107</v>
      </c>
      <c r="N899" s="144">
        <f>SUM(N893:N898)</f>
        <v>1054</v>
      </c>
      <c r="O899" s="25">
        <f>SUM(O893:O898)</f>
        <v>87.833333333333329</v>
      </c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s="9" customFormat="1" ht="15.75">
      <c r="A900" s="62" t="s">
        <v>112</v>
      </c>
      <c r="B900" s="25">
        <f t="shared" ref="B900:G900" si="1080">IF(B899=0,"",B899/B$1870)</f>
        <v>3.3225806451612905</v>
      </c>
      <c r="C900" s="25">
        <f t="shared" si="1080"/>
        <v>2.9642857142857144</v>
      </c>
      <c r="D900" s="25">
        <f t="shared" si="1080"/>
        <v>3.4516129032258065</v>
      </c>
      <c r="E900" s="25">
        <f t="shared" si="1080"/>
        <v>0.96666666666666667</v>
      </c>
      <c r="F900" s="25">
        <f t="shared" si="1080"/>
        <v>0.93548387096774188</v>
      </c>
      <c r="G900" s="25">
        <f t="shared" si="1080"/>
        <v>3.1333333333333333</v>
      </c>
      <c r="H900" s="25">
        <f t="shared" ref="H900:I900" si="1081">IF(H899=0,"",H899/H$1870)</f>
        <v>3</v>
      </c>
      <c r="I900" s="25">
        <f t="shared" si="1081"/>
        <v>3.967741935483871</v>
      </c>
      <c r="J900" s="25">
        <f t="shared" ref="J900:K900" si="1082">IF(J899=0,"",J899/J$1870)</f>
        <v>3.6</v>
      </c>
      <c r="K900" s="25">
        <f t="shared" si="1082"/>
        <v>2.935483870967742</v>
      </c>
      <c r="L900" s="25">
        <f t="shared" ref="L900:M900" si="1083">IF(L899=0,"",L899/L$1870)</f>
        <v>2.9</v>
      </c>
      <c r="M900" s="25">
        <f t="shared" si="1083"/>
        <v>3.4516129032258065</v>
      </c>
      <c r="N900" s="144">
        <f>SUM(B900:M900)</f>
        <v>34.628801843317973</v>
      </c>
      <c r="O900" s="25">
        <f>IF(N900=0,0,AVERAGE(B900:M900))</f>
        <v>2.8857334869431646</v>
      </c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s="9" customFormat="1" ht="15.75">
      <c r="A901" s="26"/>
      <c r="B901" s="27"/>
      <c r="C901" s="27"/>
      <c r="D901" s="27"/>
      <c r="E901" s="27"/>
      <c r="F901" s="27"/>
      <c r="G901" s="28"/>
      <c r="H901" s="28"/>
      <c r="I901" s="28"/>
      <c r="J901" s="28"/>
      <c r="K901" s="28"/>
      <c r="L901" s="28"/>
      <c r="M901" s="28"/>
      <c r="N901" s="151"/>
      <c r="O901" s="16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s="9" customFormat="1" ht="15.75">
      <c r="A902" s="91" t="s">
        <v>185</v>
      </c>
      <c r="B902" s="92">
        <f t="shared" ref="B902:C902" si="1084">B877+B880</f>
        <v>7</v>
      </c>
      <c r="C902" s="92">
        <f t="shared" si="1084"/>
        <v>3</v>
      </c>
      <c r="D902" s="92">
        <f t="shared" ref="D902:E902" si="1085">D877+D880</f>
        <v>3</v>
      </c>
      <c r="E902" s="92">
        <f t="shared" si="1085"/>
        <v>1</v>
      </c>
      <c r="F902" s="92">
        <f t="shared" ref="F902:G902" si="1086">F877+F880</f>
        <v>2</v>
      </c>
      <c r="G902" s="92">
        <f t="shared" si="1086"/>
        <v>5</v>
      </c>
      <c r="H902" s="92">
        <f t="shared" ref="H902:I902" si="1087">H877+H880</f>
        <v>7</v>
      </c>
      <c r="I902" s="92">
        <f t="shared" si="1087"/>
        <v>2</v>
      </c>
      <c r="J902" s="92">
        <f t="shared" ref="J902:K902" si="1088">J877+J880</f>
        <v>7</v>
      </c>
      <c r="K902" s="92">
        <f t="shared" si="1088"/>
        <v>3</v>
      </c>
      <c r="L902" s="92">
        <f t="shared" ref="L902:M902" si="1089">L877+L880</f>
        <v>3</v>
      </c>
      <c r="M902" s="92">
        <f t="shared" si="1089"/>
        <v>1</v>
      </c>
      <c r="N902" s="150">
        <f>N889</f>
        <v>44</v>
      </c>
      <c r="O902" s="22">
        <f>O889</f>
        <v>3.666666666666667</v>
      </c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s="9" customFormat="1" ht="15.75">
      <c r="A903" s="91" t="s">
        <v>186</v>
      </c>
      <c r="B903" s="92">
        <f t="shared" ref="B903:C903" si="1090">B894+B897</f>
        <v>87</v>
      </c>
      <c r="C903" s="92">
        <f t="shared" si="1090"/>
        <v>72</v>
      </c>
      <c r="D903" s="92">
        <f t="shared" ref="D903:E903" si="1091">D894+D897</f>
        <v>85</v>
      </c>
      <c r="E903" s="92">
        <f t="shared" si="1091"/>
        <v>23</v>
      </c>
      <c r="F903" s="92">
        <f t="shared" ref="F903:G903" si="1092">F894+F897</f>
        <v>21</v>
      </c>
      <c r="G903" s="92">
        <f t="shared" si="1092"/>
        <v>66</v>
      </c>
      <c r="H903" s="92">
        <f t="shared" ref="H903:I903" si="1093">H894+H897</f>
        <v>91</v>
      </c>
      <c r="I903" s="92">
        <f t="shared" si="1093"/>
        <v>93</v>
      </c>
      <c r="J903" s="92">
        <f t="shared" ref="J903:K903" si="1094">J894+J897</f>
        <v>89</v>
      </c>
      <c r="K903" s="92">
        <f t="shared" si="1094"/>
        <v>77</v>
      </c>
      <c r="L903" s="92">
        <f t="shared" ref="L903:M903" si="1095">L894+L897</f>
        <v>68</v>
      </c>
      <c r="M903" s="92">
        <f t="shared" si="1095"/>
        <v>92</v>
      </c>
      <c r="N903" s="150">
        <f>N899</f>
        <v>1054</v>
      </c>
      <c r="O903" s="22">
        <f>O899</f>
        <v>87.833333333333329</v>
      </c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s="9" customFormat="1" ht="15.75">
      <c r="A904" s="26"/>
      <c r="B904" s="27"/>
      <c r="C904" s="27"/>
      <c r="D904" s="27"/>
      <c r="E904" s="27"/>
      <c r="F904" s="27"/>
      <c r="G904" s="27"/>
      <c r="H904" s="27"/>
      <c r="I904" s="27"/>
      <c r="J904" s="28"/>
      <c r="K904" s="28"/>
      <c r="L904" s="28"/>
      <c r="M904" s="28"/>
      <c r="N904" s="151"/>
      <c r="O904" s="16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s="9" customFormat="1" ht="15.75">
      <c r="A905" s="91" t="s">
        <v>187</v>
      </c>
      <c r="B905" s="93">
        <f t="shared" ref="B905:C906" si="1096">B902+B861</f>
        <v>21</v>
      </c>
      <c r="C905" s="93">
        <f t="shared" si="1096"/>
        <v>20</v>
      </c>
      <c r="D905" s="93">
        <f t="shared" ref="D905:E905" si="1097">D902+D861</f>
        <v>15</v>
      </c>
      <c r="E905" s="93">
        <f t="shared" si="1097"/>
        <v>9</v>
      </c>
      <c r="F905" s="93">
        <f t="shared" ref="F905:G905" si="1098">F902+F861</f>
        <v>12</v>
      </c>
      <c r="G905" s="93">
        <f t="shared" si="1098"/>
        <v>20</v>
      </c>
      <c r="H905" s="93">
        <f t="shared" ref="H905:I905" si="1099">H902+H861</f>
        <v>22</v>
      </c>
      <c r="I905" s="93">
        <f t="shared" si="1099"/>
        <v>17</v>
      </c>
      <c r="J905" s="93">
        <f t="shared" ref="J905:K905" si="1100">J902+J861</f>
        <v>43</v>
      </c>
      <c r="K905" s="93">
        <f t="shared" si="1100"/>
        <v>16</v>
      </c>
      <c r="L905" s="93">
        <f t="shared" ref="L905:M905" si="1101">L902+L861</f>
        <v>15</v>
      </c>
      <c r="M905" s="93">
        <f t="shared" si="1101"/>
        <v>15</v>
      </c>
      <c r="N905" s="150">
        <f>N902+N861</f>
        <v>357</v>
      </c>
      <c r="O905" s="22">
        <f>O902+O861</f>
        <v>29.75</v>
      </c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s="9" customFormat="1" ht="15.75">
      <c r="A906" s="91" t="s">
        <v>188</v>
      </c>
      <c r="B906" s="93">
        <f t="shared" si="1096"/>
        <v>324</v>
      </c>
      <c r="C906" s="93">
        <f t="shared" si="1096"/>
        <v>420</v>
      </c>
      <c r="D906" s="93">
        <f t="shared" ref="D906:E906" si="1102">D903+D862</f>
        <v>420</v>
      </c>
      <c r="E906" s="93">
        <f t="shared" si="1102"/>
        <v>177</v>
      </c>
      <c r="F906" s="93">
        <f t="shared" ref="F906:G906" si="1103">F903+F862</f>
        <v>96</v>
      </c>
      <c r="G906" s="93">
        <f t="shared" si="1103"/>
        <v>277</v>
      </c>
      <c r="H906" s="93">
        <f t="shared" ref="H906:I906" si="1104">H903+H862</f>
        <v>351</v>
      </c>
      <c r="I906" s="93">
        <f t="shared" si="1104"/>
        <v>456</v>
      </c>
      <c r="J906" s="93">
        <f t="shared" ref="J906:K906" si="1105">J903+J862</f>
        <v>513</v>
      </c>
      <c r="K906" s="93">
        <f t="shared" si="1105"/>
        <v>494</v>
      </c>
      <c r="L906" s="93">
        <f t="shared" ref="L906:M906" si="1106">L903+L862</f>
        <v>453</v>
      </c>
      <c r="M906" s="93">
        <f t="shared" si="1106"/>
        <v>361</v>
      </c>
      <c r="N906" s="150">
        <f>N903+N862</f>
        <v>7787</v>
      </c>
      <c r="O906" s="22">
        <f>O903+O862</f>
        <v>648.91666666666674</v>
      </c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s="9" customFormat="1" ht="15.75">
      <c r="A907" s="381" t="s">
        <v>155</v>
      </c>
      <c r="B907" s="372">
        <f t="shared" ref="B907:C907" si="1107">SUM(B905:B906)</f>
        <v>345</v>
      </c>
      <c r="C907" s="372">
        <f t="shared" si="1107"/>
        <v>440</v>
      </c>
      <c r="D907" s="372">
        <f t="shared" ref="D907:E907" si="1108">SUM(D905:D906)</f>
        <v>435</v>
      </c>
      <c r="E907" s="372">
        <f t="shared" si="1108"/>
        <v>186</v>
      </c>
      <c r="F907" s="372">
        <f t="shared" ref="F907:G907" si="1109">SUM(F905:F906)</f>
        <v>108</v>
      </c>
      <c r="G907" s="372">
        <f t="shared" si="1109"/>
        <v>297</v>
      </c>
      <c r="H907" s="372">
        <f t="shared" ref="H907:I907" si="1110">SUM(H905:H906)</f>
        <v>373</v>
      </c>
      <c r="I907" s="372">
        <f t="shared" si="1110"/>
        <v>473</v>
      </c>
      <c r="J907" s="372">
        <f t="shared" ref="J907:K907" si="1111">SUM(J905:J906)</f>
        <v>556</v>
      </c>
      <c r="K907" s="372">
        <f t="shared" si="1111"/>
        <v>510</v>
      </c>
      <c r="L907" s="372">
        <f t="shared" ref="L907:M907" si="1112">SUM(L905:L906)</f>
        <v>468</v>
      </c>
      <c r="M907" s="372">
        <f t="shared" si="1112"/>
        <v>376</v>
      </c>
      <c r="N907" s="373">
        <f>SUM(N905:N906)</f>
        <v>8144</v>
      </c>
      <c r="O907" s="374">
        <f>SUM(O905:O906)</f>
        <v>678.66666666666674</v>
      </c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s="9" customFormat="1" ht="15.75">
      <c r="A908" s="26"/>
      <c r="B908" s="27"/>
      <c r="C908" s="27"/>
      <c r="D908" s="27"/>
      <c r="E908" s="28"/>
      <c r="F908" s="28"/>
      <c r="G908" s="28"/>
      <c r="H908" s="28"/>
      <c r="I908" s="28"/>
      <c r="J908" s="28"/>
      <c r="K908" s="28"/>
      <c r="L908" s="28"/>
      <c r="M908" s="28"/>
      <c r="N908" s="151"/>
      <c r="O908" s="57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s="9" customFormat="1" ht="15.75">
      <c r="A909" s="17" t="s">
        <v>778</v>
      </c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49"/>
      <c r="O909" s="19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s="9" customFormat="1" ht="15.75">
      <c r="A910" s="66" t="s">
        <v>779</v>
      </c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49"/>
      <c r="O910" s="19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s="9" customFormat="1" ht="15.75">
      <c r="A911" s="40" t="s">
        <v>18</v>
      </c>
      <c r="B911" s="21">
        <v>0</v>
      </c>
      <c r="C911" s="21">
        <v>0</v>
      </c>
      <c r="D911" s="21">
        <v>0</v>
      </c>
      <c r="E911" s="21">
        <v>0</v>
      </c>
      <c r="F911" s="21">
        <v>0</v>
      </c>
      <c r="G911" s="21">
        <v>0</v>
      </c>
      <c r="H911" s="21">
        <v>0</v>
      </c>
      <c r="I911" s="21">
        <v>0</v>
      </c>
      <c r="J911" s="87">
        <v>0</v>
      </c>
      <c r="K911" s="87">
        <v>0</v>
      </c>
      <c r="L911" s="87">
        <v>0</v>
      </c>
      <c r="M911" s="87">
        <v>0</v>
      </c>
      <c r="N911" s="150">
        <f>SUM(B911:M911)</f>
        <v>0</v>
      </c>
      <c r="O911" s="22">
        <f>IF(N911=0,0,AVERAGE(B911:M911))</f>
        <v>0</v>
      </c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s="9" customFormat="1" ht="15.75">
      <c r="A912" s="40" t="s">
        <v>19</v>
      </c>
      <c r="B912" s="21">
        <v>0</v>
      </c>
      <c r="C912" s="21">
        <v>0</v>
      </c>
      <c r="D912" s="21">
        <v>0</v>
      </c>
      <c r="E912" s="21">
        <v>0</v>
      </c>
      <c r="F912" s="21">
        <v>0</v>
      </c>
      <c r="G912" s="21">
        <v>0</v>
      </c>
      <c r="H912" s="21">
        <v>0</v>
      </c>
      <c r="I912" s="21">
        <v>0</v>
      </c>
      <c r="J912" s="87">
        <v>0</v>
      </c>
      <c r="K912" s="87">
        <v>0</v>
      </c>
      <c r="L912" s="87">
        <v>0</v>
      </c>
      <c r="M912" s="87">
        <v>0</v>
      </c>
      <c r="N912" s="150">
        <f>SUM(B912:M912)</f>
        <v>0</v>
      </c>
      <c r="O912" s="22">
        <f>IF(N912=0,0,AVERAGE(B912:M912))</f>
        <v>0</v>
      </c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s="9" customFormat="1" ht="15.75">
      <c r="A913" s="40" t="s">
        <v>20</v>
      </c>
      <c r="B913" s="21">
        <v>0</v>
      </c>
      <c r="C913" s="21">
        <v>0</v>
      </c>
      <c r="D913" s="21">
        <v>0</v>
      </c>
      <c r="E913" s="21">
        <v>0</v>
      </c>
      <c r="F913" s="21">
        <v>0</v>
      </c>
      <c r="G913" s="21">
        <v>0</v>
      </c>
      <c r="H913" s="21">
        <v>0</v>
      </c>
      <c r="I913" s="21">
        <v>0</v>
      </c>
      <c r="J913" s="87">
        <v>0</v>
      </c>
      <c r="K913" s="21">
        <v>0</v>
      </c>
      <c r="L913" s="21">
        <v>0</v>
      </c>
      <c r="M913" s="21">
        <v>0</v>
      </c>
      <c r="N913" s="150">
        <f>SUM(B913:M913)</f>
        <v>0</v>
      </c>
      <c r="O913" s="22">
        <f>IF(N913=0,0,AVERAGE(B913:M913))</f>
        <v>0</v>
      </c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s="9" customFormat="1" ht="15.75">
      <c r="A914" s="62" t="s">
        <v>21</v>
      </c>
      <c r="B914" s="24">
        <f t="shared" ref="B914:C914" si="1113">SUM(B911:B913)</f>
        <v>0</v>
      </c>
      <c r="C914" s="24">
        <f t="shared" si="1113"/>
        <v>0</v>
      </c>
      <c r="D914" s="24">
        <f t="shared" ref="D914:E914" si="1114">SUM(D911:D913)</f>
        <v>0</v>
      </c>
      <c r="E914" s="24">
        <f t="shared" si="1114"/>
        <v>0</v>
      </c>
      <c r="F914" s="24">
        <f t="shared" ref="F914:G914" si="1115">SUM(F911:F913)</f>
        <v>0</v>
      </c>
      <c r="G914" s="24">
        <f t="shared" si="1115"/>
        <v>0</v>
      </c>
      <c r="H914" s="24">
        <f t="shared" ref="H914:I914" si="1116">SUM(H911:H913)</f>
        <v>0</v>
      </c>
      <c r="I914" s="24">
        <f t="shared" si="1116"/>
        <v>0</v>
      </c>
      <c r="J914" s="24">
        <f t="shared" ref="J914:K914" si="1117">SUM(J911:J913)</f>
        <v>0</v>
      </c>
      <c r="K914" s="24">
        <f t="shared" si="1117"/>
        <v>0</v>
      </c>
      <c r="L914" s="24">
        <f t="shared" ref="L914:M914" si="1118">SUM(L911:L913)</f>
        <v>0</v>
      </c>
      <c r="M914" s="24">
        <f t="shared" si="1118"/>
        <v>0</v>
      </c>
      <c r="N914" s="144">
        <f>SUM(N911:N913)</f>
        <v>0</v>
      </c>
      <c r="O914" s="25">
        <f>SUM(O911:O913)</f>
        <v>0</v>
      </c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s="9" customFormat="1" ht="15.75">
      <c r="A915" s="62" t="s">
        <v>112</v>
      </c>
      <c r="B915" s="24" t="s">
        <v>44</v>
      </c>
      <c r="C915" s="24" t="s">
        <v>44</v>
      </c>
      <c r="D915" s="24" t="s">
        <v>44</v>
      </c>
      <c r="E915" s="24" t="s">
        <v>44</v>
      </c>
      <c r="F915" s="24" t="s">
        <v>44</v>
      </c>
      <c r="G915" s="24" t="s">
        <v>44</v>
      </c>
      <c r="H915" s="24" t="s">
        <v>44</v>
      </c>
      <c r="I915" s="24" t="s">
        <v>44</v>
      </c>
      <c r="J915" s="24" t="s">
        <v>44</v>
      </c>
      <c r="K915" s="24" t="s">
        <v>44</v>
      </c>
      <c r="L915" s="24" t="s">
        <v>44</v>
      </c>
      <c r="M915" s="24" t="s">
        <v>44</v>
      </c>
      <c r="N915" s="144">
        <f>SUM(B915:M915)</f>
        <v>0</v>
      </c>
      <c r="O915" s="25">
        <f>IF(N915=0,0,AVERAGE(B915:M915))</f>
        <v>0</v>
      </c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s="9" customFormat="1" ht="15.75">
      <c r="A916" s="101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151"/>
      <c r="O916" s="102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s="9" customFormat="1" ht="15.75">
      <c r="A917" s="66" t="s">
        <v>780</v>
      </c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49"/>
      <c r="O917" s="19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s="9" customFormat="1" ht="15.75">
      <c r="A918" s="104" t="s">
        <v>114</v>
      </c>
      <c r="B918" s="21">
        <v>20</v>
      </c>
      <c r="C918" s="21">
        <v>20</v>
      </c>
      <c r="D918" s="21">
        <v>17</v>
      </c>
      <c r="E918" s="21">
        <v>10</v>
      </c>
      <c r="F918" s="21">
        <v>17</v>
      </c>
      <c r="G918" s="21">
        <v>12</v>
      </c>
      <c r="H918" s="21">
        <v>3</v>
      </c>
      <c r="I918" s="21">
        <v>22</v>
      </c>
      <c r="J918" s="21">
        <v>14</v>
      </c>
      <c r="K918" s="21">
        <v>0</v>
      </c>
      <c r="L918" s="21">
        <v>0</v>
      </c>
      <c r="M918" s="21">
        <v>0</v>
      </c>
      <c r="N918" s="150">
        <f>SUM(B918:M918)</f>
        <v>135</v>
      </c>
      <c r="O918" s="22">
        <f>IF(N918=0,0,AVERAGE(B918:M918))</f>
        <v>11.25</v>
      </c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s="9" customFormat="1" ht="15.75">
      <c r="A919" s="62" t="s">
        <v>21</v>
      </c>
      <c r="B919" s="24">
        <f t="shared" ref="B919:C919" si="1119">SUM(B918)</f>
        <v>20</v>
      </c>
      <c r="C919" s="24">
        <f t="shared" si="1119"/>
        <v>20</v>
      </c>
      <c r="D919" s="24">
        <f t="shared" ref="D919:E919" si="1120">SUM(D918)</f>
        <v>17</v>
      </c>
      <c r="E919" s="24">
        <f t="shared" si="1120"/>
        <v>10</v>
      </c>
      <c r="F919" s="24">
        <f t="shared" ref="F919:G919" si="1121">SUM(F918)</f>
        <v>17</v>
      </c>
      <c r="G919" s="24">
        <f t="shared" si="1121"/>
        <v>12</v>
      </c>
      <c r="H919" s="24">
        <f t="shared" ref="H919:I919" si="1122">SUM(H918)</f>
        <v>3</v>
      </c>
      <c r="I919" s="24">
        <f t="shared" si="1122"/>
        <v>22</v>
      </c>
      <c r="J919" s="24">
        <f t="shared" ref="J919:K919" si="1123">SUM(J918)</f>
        <v>14</v>
      </c>
      <c r="K919" s="24">
        <f t="shared" si="1123"/>
        <v>0</v>
      </c>
      <c r="L919" s="24">
        <f t="shared" ref="L919:M919" si="1124">SUM(L918)</f>
        <v>0</v>
      </c>
      <c r="M919" s="24">
        <f t="shared" si="1124"/>
        <v>0</v>
      </c>
      <c r="N919" s="144">
        <f>SUM(N918)</f>
        <v>135</v>
      </c>
      <c r="O919" s="25">
        <f>SUM(O918)</f>
        <v>11.25</v>
      </c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s="9" customFormat="1" ht="15.75">
      <c r="A920" s="62" t="s">
        <v>112</v>
      </c>
      <c r="B920" s="25">
        <f t="shared" ref="B920:G920" si="1125">IF(B919=0,"",B919/B$1870)</f>
        <v>0.64516129032258063</v>
      </c>
      <c r="C920" s="25">
        <f t="shared" si="1125"/>
        <v>0.7142857142857143</v>
      </c>
      <c r="D920" s="25">
        <f t="shared" si="1125"/>
        <v>0.54838709677419351</v>
      </c>
      <c r="E920" s="25">
        <f t="shared" si="1125"/>
        <v>0.33333333333333331</v>
      </c>
      <c r="F920" s="25">
        <f t="shared" si="1125"/>
        <v>0.54838709677419351</v>
      </c>
      <c r="G920" s="25">
        <f t="shared" si="1125"/>
        <v>0.4</v>
      </c>
      <c r="H920" s="25">
        <f t="shared" ref="H920:I920" si="1126">IF(H919=0,"",H919/H$1870)</f>
        <v>9.6774193548387094E-2</v>
      </c>
      <c r="I920" s="25">
        <f t="shared" si="1126"/>
        <v>0.70967741935483875</v>
      </c>
      <c r="J920" s="25">
        <f t="shared" ref="J920" si="1127">IF(J919=0,"",J919/J$1870)</f>
        <v>0.46666666666666667</v>
      </c>
      <c r="K920" s="25" t="s">
        <v>44</v>
      </c>
      <c r="L920" s="25" t="s">
        <v>44</v>
      </c>
      <c r="M920" s="25" t="s">
        <v>44</v>
      </c>
      <c r="N920" s="144">
        <f>SUM(B920:M920)</f>
        <v>4.4626728110599077</v>
      </c>
      <c r="O920" s="25">
        <f>IF(N920=0,0,AVERAGE(B920:M920))</f>
        <v>0.49585253456221196</v>
      </c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s="9" customFormat="1" ht="15.75">
      <c r="A921" s="101"/>
      <c r="B921" s="27"/>
      <c r="C921" s="27"/>
      <c r="D921" s="27"/>
      <c r="E921" s="27"/>
      <c r="F921" s="27"/>
      <c r="G921" s="27"/>
      <c r="H921" s="27"/>
      <c r="I921" s="27"/>
      <c r="J921" s="28"/>
      <c r="K921" s="28"/>
      <c r="L921" s="28"/>
      <c r="M921" s="28"/>
      <c r="N921" s="151"/>
      <c r="O921" s="57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s="9" customFormat="1" ht="15.75">
      <c r="A922" s="91" t="s">
        <v>153</v>
      </c>
      <c r="B922" s="92">
        <f t="shared" ref="B922:C922" si="1128">B914</f>
        <v>0</v>
      </c>
      <c r="C922" s="92">
        <f t="shared" si="1128"/>
        <v>0</v>
      </c>
      <c r="D922" s="92">
        <f t="shared" ref="D922:E922" si="1129">D914</f>
        <v>0</v>
      </c>
      <c r="E922" s="92">
        <f t="shared" si="1129"/>
        <v>0</v>
      </c>
      <c r="F922" s="92">
        <f t="shared" ref="F922:G922" si="1130">F914</f>
        <v>0</v>
      </c>
      <c r="G922" s="92">
        <f t="shared" si="1130"/>
        <v>0</v>
      </c>
      <c r="H922" s="92">
        <f t="shared" ref="H922:I922" si="1131">H914</f>
        <v>0</v>
      </c>
      <c r="I922" s="92">
        <f t="shared" si="1131"/>
        <v>0</v>
      </c>
      <c r="J922" s="92">
        <f t="shared" ref="J922:K922" si="1132">J914</f>
        <v>0</v>
      </c>
      <c r="K922" s="92">
        <f t="shared" si="1132"/>
        <v>0</v>
      </c>
      <c r="L922" s="92">
        <f t="shared" ref="L922:M922" si="1133">L914</f>
        <v>0</v>
      </c>
      <c r="M922" s="92">
        <f t="shared" si="1133"/>
        <v>0</v>
      </c>
      <c r="N922" s="150">
        <f>SUM(B922:M922)</f>
        <v>0</v>
      </c>
      <c r="O922" s="22">
        <f>IF(N922=0,0,AVERAGE(B922:M922))</f>
        <v>0</v>
      </c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s="9" customFormat="1" ht="15.75">
      <c r="A923" s="91" t="s">
        <v>154</v>
      </c>
      <c r="B923" s="92">
        <f t="shared" ref="B923:C923" si="1134">B918</f>
        <v>20</v>
      </c>
      <c r="C923" s="92">
        <f t="shared" si="1134"/>
        <v>20</v>
      </c>
      <c r="D923" s="92">
        <f t="shared" ref="D923:E923" si="1135">D918</f>
        <v>17</v>
      </c>
      <c r="E923" s="92">
        <f t="shared" si="1135"/>
        <v>10</v>
      </c>
      <c r="F923" s="92">
        <f t="shared" ref="F923:G923" si="1136">F918</f>
        <v>17</v>
      </c>
      <c r="G923" s="92">
        <f t="shared" si="1136"/>
        <v>12</v>
      </c>
      <c r="H923" s="92">
        <f t="shared" ref="H923:I923" si="1137">H918</f>
        <v>3</v>
      </c>
      <c r="I923" s="92">
        <f t="shared" si="1137"/>
        <v>22</v>
      </c>
      <c r="J923" s="92">
        <f t="shared" ref="J923:K923" si="1138">J918</f>
        <v>14</v>
      </c>
      <c r="K923" s="92">
        <f t="shared" si="1138"/>
        <v>0</v>
      </c>
      <c r="L923" s="92">
        <f t="shared" ref="L923:M923" si="1139">L918</f>
        <v>0</v>
      </c>
      <c r="M923" s="92">
        <f t="shared" si="1139"/>
        <v>0</v>
      </c>
      <c r="N923" s="150">
        <f>SUM(B923:M923)</f>
        <v>135</v>
      </c>
      <c r="O923" s="22">
        <f>IF(N923=0,0,AVERAGE(B923:M923))</f>
        <v>11.25</v>
      </c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s="9" customFormat="1" ht="15.75">
      <c r="A924" s="381" t="s">
        <v>155</v>
      </c>
      <c r="B924" s="372">
        <f t="shared" ref="B924:C924" si="1140">SUM(B922:B923)</f>
        <v>20</v>
      </c>
      <c r="C924" s="372">
        <f t="shared" si="1140"/>
        <v>20</v>
      </c>
      <c r="D924" s="372">
        <f t="shared" ref="D924:E924" si="1141">SUM(D922:D923)</f>
        <v>17</v>
      </c>
      <c r="E924" s="372">
        <f t="shared" si="1141"/>
        <v>10</v>
      </c>
      <c r="F924" s="372">
        <f t="shared" ref="F924:G924" si="1142">SUM(F922:F923)</f>
        <v>17</v>
      </c>
      <c r="G924" s="372">
        <f t="shared" si="1142"/>
        <v>12</v>
      </c>
      <c r="H924" s="372">
        <f t="shared" ref="H924:I924" si="1143">SUM(H922:H923)</f>
        <v>3</v>
      </c>
      <c r="I924" s="372">
        <f t="shared" si="1143"/>
        <v>22</v>
      </c>
      <c r="J924" s="372">
        <f t="shared" ref="J924:K924" si="1144">SUM(J922:J923)</f>
        <v>14</v>
      </c>
      <c r="K924" s="372">
        <f t="shared" si="1144"/>
        <v>0</v>
      </c>
      <c r="L924" s="372">
        <f t="shared" ref="L924:M924" si="1145">SUM(L922:L923)</f>
        <v>0</v>
      </c>
      <c r="M924" s="372">
        <f t="shared" si="1145"/>
        <v>0</v>
      </c>
      <c r="N924" s="373">
        <f>SUM(N922:N923)</f>
        <v>135</v>
      </c>
      <c r="O924" s="374">
        <f>SUM(O922:O923)</f>
        <v>11.25</v>
      </c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s="9" customFormat="1" ht="15.75">
      <c r="A925" s="26"/>
      <c r="B925" s="27"/>
      <c r="C925" s="27"/>
      <c r="D925" s="27"/>
      <c r="E925" s="28"/>
      <c r="F925" s="28"/>
      <c r="G925" s="28"/>
      <c r="H925" s="28"/>
      <c r="I925" s="28"/>
      <c r="J925" s="28"/>
      <c r="K925" s="28"/>
      <c r="L925" s="28"/>
      <c r="M925" s="28"/>
      <c r="N925" s="151"/>
      <c r="O925" s="57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s="9" customFormat="1" ht="15.75">
      <c r="A926" s="17" t="s">
        <v>781</v>
      </c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49"/>
      <c r="O926" s="19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s="9" customFormat="1" ht="15.75">
      <c r="A927" s="66" t="s">
        <v>782</v>
      </c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49"/>
      <c r="O927" s="19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s="9" customFormat="1" ht="15.75">
      <c r="A928" s="40" t="s">
        <v>18</v>
      </c>
      <c r="B928" s="21">
        <v>0</v>
      </c>
      <c r="C928" s="21">
        <v>0</v>
      </c>
      <c r="D928" s="21">
        <v>0</v>
      </c>
      <c r="E928" s="21">
        <v>0</v>
      </c>
      <c r="F928" s="21">
        <v>0</v>
      </c>
      <c r="G928" s="21">
        <v>0</v>
      </c>
      <c r="H928" s="21">
        <v>0</v>
      </c>
      <c r="I928" s="21">
        <v>0</v>
      </c>
      <c r="J928" s="87">
        <v>0</v>
      </c>
      <c r="K928" s="87">
        <v>0</v>
      </c>
      <c r="L928" s="87">
        <v>0</v>
      </c>
      <c r="M928" s="87">
        <v>0</v>
      </c>
      <c r="N928" s="150">
        <f>SUM(B928:M928)</f>
        <v>0</v>
      </c>
      <c r="O928" s="22">
        <f>IF(N928=0,0,AVERAGE(B928:M928))</f>
        <v>0</v>
      </c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s="9" customFormat="1" ht="15.75">
      <c r="A929" s="40" t="s">
        <v>19</v>
      </c>
      <c r="B929" s="21">
        <v>0</v>
      </c>
      <c r="C929" s="21">
        <v>0</v>
      </c>
      <c r="D929" s="21">
        <v>0</v>
      </c>
      <c r="E929" s="21">
        <v>0</v>
      </c>
      <c r="F929" s="21">
        <v>0</v>
      </c>
      <c r="G929" s="21">
        <v>0</v>
      </c>
      <c r="H929" s="21">
        <v>0</v>
      </c>
      <c r="I929" s="21">
        <v>0</v>
      </c>
      <c r="J929" s="87">
        <v>0</v>
      </c>
      <c r="K929" s="87">
        <v>0</v>
      </c>
      <c r="L929" s="87">
        <v>0</v>
      </c>
      <c r="M929" s="87">
        <v>0</v>
      </c>
      <c r="N929" s="150">
        <f>SUM(B929:M929)</f>
        <v>0</v>
      </c>
      <c r="O929" s="22">
        <f>IF(N929=0,0,AVERAGE(B929:M929))</f>
        <v>0</v>
      </c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s="9" customFormat="1" ht="15.75">
      <c r="A930" s="40" t="s">
        <v>20</v>
      </c>
      <c r="B930" s="21">
        <v>0</v>
      </c>
      <c r="C930" s="21">
        <v>0</v>
      </c>
      <c r="D930" s="21">
        <v>0</v>
      </c>
      <c r="E930" s="21">
        <v>0</v>
      </c>
      <c r="F930" s="21">
        <v>0</v>
      </c>
      <c r="G930" s="21">
        <v>0</v>
      </c>
      <c r="H930" s="21">
        <v>0</v>
      </c>
      <c r="I930" s="21">
        <v>0</v>
      </c>
      <c r="J930" s="87">
        <v>0</v>
      </c>
      <c r="K930" s="21">
        <v>0</v>
      </c>
      <c r="L930" s="21">
        <v>0</v>
      </c>
      <c r="M930" s="21">
        <v>0</v>
      </c>
      <c r="N930" s="150">
        <f>SUM(B930:M930)</f>
        <v>0</v>
      </c>
      <c r="O930" s="22">
        <f>IF(N930=0,0,AVERAGE(B930:M930))</f>
        <v>0</v>
      </c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s="9" customFormat="1" ht="15.75">
      <c r="A931" s="62" t="s">
        <v>21</v>
      </c>
      <c r="B931" s="24">
        <f t="shared" ref="B931:C931" si="1146">SUM(B928:B930)</f>
        <v>0</v>
      </c>
      <c r="C931" s="24">
        <f t="shared" si="1146"/>
        <v>0</v>
      </c>
      <c r="D931" s="24">
        <f t="shared" ref="D931:E931" si="1147">SUM(D928:D930)</f>
        <v>0</v>
      </c>
      <c r="E931" s="24">
        <f t="shared" si="1147"/>
        <v>0</v>
      </c>
      <c r="F931" s="24">
        <f t="shared" ref="F931:G931" si="1148">SUM(F928:F930)</f>
        <v>0</v>
      </c>
      <c r="G931" s="24">
        <f t="shared" si="1148"/>
        <v>0</v>
      </c>
      <c r="H931" s="24">
        <f t="shared" ref="H931:I931" si="1149">SUM(H928:H930)</f>
        <v>0</v>
      </c>
      <c r="I931" s="24">
        <f t="shared" si="1149"/>
        <v>0</v>
      </c>
      <c r="J931" s="24">
        <f t="shared" ref="J931:K931" si="1150">SUM(J928:J930)</f>
        <v>0</v>
      </c>
      <c r="K931" s="24">
        <f t="shared" si="1150"/>
        <v>0</v>
      </c>
      <c r="L931" s="24">
        <f t="shared" ref="L931:M931" si="1151">SUM(L928:L930)</f>
        <v>0</v>
      </c>
      <c r="M931" s="24">
        <f t="shared" si="1151"/>
        <v>0</v>
      </c>
      <c r="N931" s="144">
        <f>SUM(N928:N930)</f>
        <v>0</v>
      </c>
      <c r="O931" s="25">
        <f>SUM(O928:O930)</f>
        <v>0</v>
      </c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s="9" customFormat="1" ht="15.75">
      <c r="A932" s="62" t="s">
        <v>112</v>
      </c>
      <c r="B932" s="24" t="s">
        <v>44</v>
      </c>
      <c r="C932" s="24" t="s">
        <v>44</v>
      </c>
      <c r="D932" s="24" t="s">
        <v>44</v>
      </c>
      <c r="E932" s="24" t="s">
        <v>44</v>
      </c>
      <c r="F932" s="24" t="s">
        <v>44</v>
      </c>
      <c r="G932" s="24" t="s">
        <v>44</v>
      </c>
      <c r="H932" s="24" t="s">
        <v>44</v>
      </c>
      <c r="I932" s="24" t="s">
        <v>44</v>
      </c>
      <c r="J932" s="24" t="s">
        <v>44</v>
      </c>
      <c r="K932" s="24" t="s">
        <v>44</v>
      </c>
      <c r="L932" s="24" t="s">
        <v>44</v>
      </c>
      <c r="M932" s="24" t="s">
        <v>44</v>
      </c>
      <c r="N932" s="144">
        <f>SUM(B932:M932)</f>
        <v>0</v>
      </c>
      <c r="O932" s="25">
        <f>IF(N932=0,0,AVERAGE(B932:M932))</f>
        <v>0</v>
      </c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s="9" customFormat="1" ht="15.75">
      <c r="A933" s="101"/>
      <c r="B933" s="27"/>
      <c r="C933" s="27"/>
      <c r="D933" s="27"/>
      <c r="E933" s="27"/>
      <c r="F933" s="27"/>
      <c r="G933" s="27"/>
      <c r="H933" s="27"/>
      <c r="I933" s="27"/>
      <c r="J933" s="28"/>
      <c r="K933" s="28"/>
      <c r="L933" s="28"/>
      <c r="M933" s="28"/>
      <c r="N933" s="151"/>
      <c r="O933" s="102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s="9" customFormat="1" ht="15.75">
      <c r="A934" s="66" t="s">
        <v>783</v>
      </c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49"/>
      <c r="O934" s="19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s="9" customFormat="1" ht="15.75">
      <c r="A935" s="104" t="s">
        <v>114</v>
      </c>
      <c r="B935" s="416">
        <v>27</v>
      </c>
      <c r="C935" s="416">
        <v>30</v>
      </c>
      <c r="D935" s="416">
        <v>23</v>
      </c>
      <c r="E935" s="416">
        <v>0</v>
      </c>
      <c r="F935" s="416">
        <v>0</v>
      </c>
      <c r="G935" s="416">
        <v>13</v>
      </c>
      <c r="H935" s="416">
        <v>0</v>
      </c>
      <c r="I935" s="416">
        <v>0</v>
      </c>
      <c r="J935" s="105">
        <v>21</v>
      </c>
      <c r="K935" s="105">
        <v>30</v>
      </c>
      <c r="L935" s="105">
        <v>0</v>
      </c>
      <c r="M935" s="105">
        <v>6</v>
      </c>
      <c r="N935" s="150">
        <f>SUM(B935:M935)</f>
        <v>150</v>
      </c>
      <c r="O935" s="22">
        <f>IF(N935=0,0,AVERAGE(B935:M935))</f>
        <v>12.5</v>
      </c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s="9" customFormat="1" ht="15.75">
      <c r="A936" s="62" t="s">
        <v>21</v>
      </c>
      <c r="B936" s="24">
        <f t="shared" ref="B936:C936" si="1152">SUM(B935)</f>
        <v>27</v>
      </c>
      <c r="C936" s="24">
        <f t="shared" si="1152"/>
        <v>30</v>
      </c>
      <c r="D936" s="24">
        <f t="shared" ref="D936:E936" si="1153">SUM(D935)</f>
        <v>23</v>
      </c>
      <c r="E936" s="24">
        <f t="shared" si="1153"/>
        <v>0</v>
      </c>
      <c r="F936" s="24">
        <f t="shared" ref="F936:G936" si="1154">SUM(F935)</f>
        <v>0</v>
      </c>
      <c r="G936" s="24">
        <f t="shared" si="1154"/>
        <v>13</v>
      </c>
      <c r="H936" s="24">
        <f t="shared" ref="H936:I936" si="1155">SUM(H935)</f>
        <v>0</v>
      </c>
      <c r="I936" s="24">
        <f t="shared" si="1155"/>
        <v>0</v>
      </c>
      <c r="J936" s="24">
        <f t="shared" ref="J936:K936" si="1156">SUM(J935)</f>
        <v>21</v>
      </c>
      <c r="K936" s="24">
        <f t="shared" si="1156"/>
        <v>30</v>
      </c>
      <c r="L936" s="24">
        <f t="shared" ref="L936:M936" si="1157">SUM(L935)</f>
        <v>0</v>
      </c>
      <c r="M936" s="24">
        <f t="shared" si="1157"/>
        <v>6</v>
      </c>
      <c r="N936" s="144">
        <f>SUM(N935)</f>
        <v>150</v>
      </c>
      <c r="O936" s="25">
        <f>SUM(O935)</f>
        <v>12.5</v>
      </c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s="9" customFormat="1" ht="15.75">
      <c r="A937" s="62" t="s">
        <v>112</v>
      </c>
      <c r="B937" s="25">
        <f t="shared" ref="B937:G937" si="1158">IF(B936=0,"",B936/B$1870)</f>
        <v>0.87096774193548387</v>
      </c>
      <c r="C937" s="25">
        <f t="shared" si="1158"/>
        <v>1.0714285714285714</v>
      </c>
      <c r="D937" s="25">
        <f t="shared" si="1158"/>
        <v>0.74193548387096775</v>
      </c>
      <c r="E937" s="25" t="s">
        <v>44</v>
      </c>
      <c r="F937" s="25" t="s">
        <v>44</v>
      </c>
      <c r="G937" s="25">
        <f t="shared" si="1158"/>
        <v>0.43333333333333335</v>
      </c>
      <c r="H937" s="25" t="s">
        <v>44</v>
      </c>
      <c r="I937" s="25" t="s">
        <v>44</v>
      </c>
      <c r="J937" s="25">
        <f t="shared" ref="J937:K937" si="1159">IF(J936=0,"",J936/J$1870)</f>
        <v>0.7</v>
      </c>
      <c r="K937" s="25">
        <f t="shared" si="1159"/>
        <v>0.967741935483871</v>
      </c>
      <c r="L937" s="25" t="s">
        <v>44</v>
      </c>
      <c r="M937" s="25" t="s">
        <v>44</v>
      </c>
      <c r="N937" s="144">
        <f>SUM(B937:M937)</f>
        <v>4.7854070660522279</v>
      </c>
      <c r="O937" s="25">
        <f>IF(N937=0,0,AVERAGE(B937:M937))</f>
        <v>0.79756784434203798</v>
      </c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s="9" customFormat="1" ht="15.75">
      <c r="A938" s="101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151"/>
      <c r="O938" s="57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s="9" customFormat="1" ht="15.75">
      <c r="A939" s="91" t="s">
        <v>153</v>
      </c>
      <c r="B939" s="92">
        <f t="shared" ref="B939:C939" si="1160">B931</f>
        <v>0</v>
      </c>
      <c r="C939" s="92">
        <f t="shared" si="1160"/>
        <v>0</v>
      </c>
      <c r="D939" s="92">
        <f t="shared" ref="D939:E939" si="1161">D931</f>
        <v>0</v>
      </c>
      <c r="E939" s="92">
        <f t="shared" si="1161"/>
        <v>0</v>
      </c>
      <c r="F939" s="92">
        <f t="shared" ref="F939:G939" si="1162">F931</f>
        <v>0</v>
      </c>
      <c r="G939" s="92">
        <f t="shared" si="1162"/>
        <v>0</v>
      </c>
      <c r="H939" s="92">
        <f t="shared" ref="H939:I939" si="1163">H931</f>
        <v>0</v>
      </c>
      <c r="I939" s="92">
        <f t="shared" si="1163"/>
        <v>0</v>
      </c>
      <c r="J939" s="92">
        <f t="shared" ref="J939:K939" si="1164">J931</f>
        <v>0</v>
      </c>
      <c r="K939" s="92">
        <f t="shared" si="1164"/>
        <v>0</v>
      </c>
      <c r="L939" s="92">
        <f t="shared" ref="L939:M939" si="1165">L931</f>
        <v>0</v>
      </c>
      <c r="M939" s="92">
        <f t="shared" si="1165"/>
        <v>0</v>
      </c>
      <c r="N939" s="150">
        <f>SUM(B939:M939)</f>
        <v>0</v>
      </c>
      <c r="O939" s="22">
        <f>IF(N939=0,0,AVERAGE(B939:M939))</f>
        <v>0</v>
      </c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s="9" customFormat="1" ht="15.75">
      <c r="A940" s="91" t="s">
        <v>154</v>
      </c>
      <c r="B940" s="92">
        <f t="shared" ref="B940:C940" si="1166">B935</f>
        <v>27</v>
      </c>
      <c r="C940" s="92">
        <f t="shared" si="1166"/>
        <v>30</v>
      </c>
      <c r="D940" s="92">
        <f t="shared" ref="D940:E940" si="1167">D935</f>
        <v>23</v>
      </c>
      <c r="E940" s="92">
        <f t="shared" si="1167"/>
        <v>0</v>
      </c>
      <c r="F940" s="92">
        <f t="shared" ref="F940:G940" si="1168">F935</f>
        <v>0</v>
      </c>
      <c r="G940" s="92">
        <f t="shared" si="1168"/>
        <v>13</v>
      </c>
      <c r="H940" s="92">
        <f t="shared" ref="H940:I940" si="1169">H935</f>
        <v>0</v>
      </c>
      <c r="I940" s="92">
        <f t="shared" si="1169"/>
        <v>0</v>
      </c>
      <c r="J940" s="92">
        <f t="shared" ref="J940:K940" si="1170">J935</f>
        <v>21</v>
      </c>
      <c r="K940" s="92">
        <f t="shared" si="1170"/>
        <v>30</v>
      </c>
      <c r="L940" s="92">
        <f t="shared" ref="L940:M940" si="1171">L935</f>
        <v>0</v>
      </c>
      <c r="M940" s="92">
        <f t="shared" si="1171"/>
        <v>6</v>
      </c>
      <c r="N940" s="150">
        <f>SUM(B940:M940)</f>
        <v>150</v>
      </c>
      <c r="O940" s="22">
        <f>IF(N940=0,0,AVERAGE(B940:M940))</f>
        <v>12.5</v>
      </c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s="9" customFormat="1" ht="15.75">
      <c r="A941" s="381" t="s">
        <v>155</v>
      </c>
      <c r="B941" s="372">
        <f t="shared" ref="B941:C941" si="1172">SUM(B939:B940)</f>
        <v>27</v>
      </c>
      <c r="C941" s="372">
        <f t="shared" si="1172"/>
        <v>30</v>
      </c>
      <c r="D941" s="372">
        <f t="shared" ref="D941:E941" si="1173">SUM(D939:D940)</f>
        <v>23</v>
      </c>
      <c r="E941" s="372">
        <f t="shared" si="1173"/>
        <v>0</v>
      </c>
      <c r="F941" s="372">
        <f t="shared" ref="F941:G941" si="1174">SUM(F939:F940)</f>
        <v>0</v>
      </c>
      <c r="G941" s="372">
        <f t="shared" si="1174"/>
        <v>13</v>
      </c>
      <c r="H941" s="372">
        <f t="shared" ref="H941:I941" si="1175">SUM(H939:H940)</f>
        <v>0</v>
      </c>
      <c r="I941" s="372">
        <f t="shared" si="1175"/>
        <v>0</v>
      </c>
      <c r="J941" s="372">
        <f t="shared" ref="J941:K941" si="1176">SUM(J939:J940)</f>
        <v>21</v>
      </c>
      <c r="K941" s="372">
        <f t="shared" si="1176"/>
        <v>30</v>
      </c>
      <c r="L941" s="372">
        <f t="shared" ref="L941:M941" si="1177">SUM(L939:L940)</f>
        <v>0</v>
      </c>
      <c r="M941" s="372">
        <f t="shared" si="1177"/>
        <v>6</v>
      </c>
      <c r="N941" s="373">
        <f>SUM(N939:N940)</f>
        <v>150</v>
      </c>
      <c r="O941" s="374">
        <f>SUM(O939:O940)</f>
        <v>12.5</v>
      </c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s="9" customFormat="1" ht="15.75">
      <c r="A942" s="88"/>
      <c r="B942" s="89"/>
      <c r="C942" s="89"/>
      <c r="D942" s="89"/>
      <c r="E942" s="89"/>
      <c r="F942" s="89"/>
      <c r="G942" s="89"/>
      <c r="H942" s="89"/>
      <c r="I942" s="89"/>
      <c r="J942" s="89"/>
      <c r="K942" s="89"/>
      <c r="L942" s="89"/>
      <c r="M942" s="89"/>
      <c r="N942" s="167"/>
      <c r="O942" s="90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s="9" customFormat="1" ht="15.75">
      <c r="A943" s="17" t="s">
        <v>784</v>
      </c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49"/>
      <c r="O943" s="19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s="9" customFormat="1" ht="15.75">
      <c r="A944" s="66" t="s">
        <v>785</v>
      </c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71"/>
      <c r="O944" s="25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s="9" customFormat="1" ht="15.75">
      <c r="A945" s="37" t="s">
        <v>145</v>
      </c>
      <c r="B945" s="21">
        <v>14689</v>
      </c>
      <c r="C945" s="87">
        <v>12777</v>
      </c>
      <c r="D945" s="87">
        <v>11627</v>
      </c>
      <c r="E945" s="21">
        <v>9706</v>
      </c>
      <c r="F945" s="21">
        <v>9070</v>
      </c>
      <c r="G945" s="21">
        <v>11374</v>
      </c>
      <c r="H945" s="21">
        <v>15137</v>
      </c>
      <c r="I945" s="21">
        <v>14197</v>
      </c>
      <c r="J945" s="87">
        <v>13959</v>
      </c>
      <c r="K945" s="87">
        <v>14685</v>
      </c>
      <c r="L945" s="21">
        <v>14296</v>
      </c>
      <c r="M945" s="21">
        <v>11889</v>
      </c>
      <c r="N945" s="150">
        <f t="shared" ref="N945:N953" si="1178">SUM(B945:M945)</f>
        <v>153406</v>
      </c>
      <c r="O945" s="22">
        <f t="shared" ref="O945:O953" si="1179">IF(N945=0,0,AVERAGE(B945:M945))</f>
        <v>12783.833333333334</v>
      </c>
      <c r="P945" s="83"/>
      <c r="Q945" s="83"/>
      <c r="R945" s="83"/>
      <c r="S945" s="83"/>
      <c r="T945" s="83"/>
      <c r="U945" s="83"/>
      <c r="V945" s="83"/>
      <c r="W945" s="83"/>
      <c r="X945" s="83"/>
      <c r="Y945" s="83"/>
      <c r="Z945" s="83"/>
    </row>
    <row r="946" spans="1:26" s="9" customFormat="1" ht="15.75">
      <c r="A946" s="37" t="s">
        <v>146</v>
      </c>
      <c r="B946" s="21">
        <v>408</v>
      </c>
      <c r="C946" s="87">
        <v>304</v>
      </c>
      <c r="D946" s="87">
        <v>317</v>
      </c>
      <c r="E946" s="21">
        <v>225</v>
      </c>
      <c r="F946" s="21">
        <v>220</v>
      </c>
      <c r="G946" s="21">
        <v>184</v>
      </c>
      <c r="H946" s="21">
        <v>267</v>
      </c>
      <c r="I946" s="21">
        <v>301</v>
      </c>
      <c r="J946" s="87">
        <v>247</v>
      </c>
      <c r="K946" s="87">
        <v>184</v>
      </c>
      <c r="L946" s="21">
        <v>210</v>
      </c>
      <c r="M946" s="21">
        <v>174</v>
      </c>
      <c r="N946" s="150">
        <f t="shared" si="1178"/>
        <v>3041</v>
      </c>
      <c r="O946" s="22">
        <f t="shared" si="1179"/>
        <v>253.41666666666666</v>
      </c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s="9" customFormat="1" ht="15.75">
      <c r="A947" s="37" t="s">
        <v>147</v>
      </c>
      <c r="B947" s="21">
        <v>2462</v>
      </c>
      <c r="C947" s="87">
        <v>2107</v>
      </c>
      <c r="D947" s="87">
        <v>1740</v>
      </c>
      <c r="E947" s="21">
        <v>1600</v>
      </c>
      <c r="F947" s="21">
        <v>1544</v>
      </c>
      <c r="G947" s="21">
        <v>1996</v>
      </c>
      <c r="H947" s="21">
        <v>2359</v>
      </c>
      <c r="I947" s="21">
        <v>2343</v>
      </c>
      <c r="J947" s="87">
        <v>2293</v>
      </c>
      <c r="K947" s="87">
        <v>2225</v>
      </c>
      <c r="L947" s="21">
        <v>2277</v>
      </c>
      <c r="M947" s="21">
        <v>2110</v>
      </c>
      <c r="N947" s="150">
        <f t="shared" si="1178"/>
        <v>25056</v>
      </c>
      <c r="O947" s="22">
        <f t="shared" si="1179"/>
        <v>2088</v>
      </c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s="9" customFormat="1" ht="15.75">
      <c r="A948" s="37" t="s">
        <v>149</v>
      </c>
      <c r="B948" s="21">
        <v>365</v>
      </c>
      <c r="C948" s="87">
        <v>515</v>
      </c>
      <c r="D948" s="87">
        <v>2282</v>
      </c>
      <c r="E948" s="21">
        <v>486</v>
      </c>
      <c r="F948" s="21">
        <v>446</v>
      </c>
      <c r="G948" s="21">
        <v>886</v>
      </c>
      <c r="H948" s="21">
        <v>1028</v>
      </c>
      <c r="I948" s="21">
        <v>1047</v>
      </c>
      <c r="J948" s="87">
        <v>922</v>
      </c>
      <c r="K948" s="87">
        <v>2280</v>
      </c>
      <c r="L948" s="21">
        <v>838</v>
      </c>
      <c r="M948" s="21">
        <v>3000</v>
      </c>
      <c r="N948" s="150">
        <f t="shared" si="1178"/>
        <v>14095</v>
      </c>
      <c r="O948" s="22">
        <f t="shared" si="1179"/>
        <v>1174.5833333333333</v>
      </c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s="9" customFormat="1" ht="15.75">
      <c r="A949" s="37" t="s">
        <v>150</v>
      </c>
      <c r="B949" s="21">
        <v>1889</v>
      </c>
      <c r="C949" s="87">
        <v>1011</v>
      </c>
      <c r="D949" s="87">
        <v>1302</v>
      </c>
      <c r="E949" s="21">
        <v>998</v>
      </c>
      <c r="F949" s="21">
        <v>1079</v>
      </c>
      <c r="G949" s="21">
        <v>1364</v>
      </c>
      <c r="H949" s="21">
        <v>1292</v>
      </c>
      <c r="I949" s="21">
        <v>2081</v>
      </c>
      <c r="J949" s="87">
        <v>1945</v>
      </c>
      <c r="K949" s="87">
        <v>810</v>
      </c>
      <c r="L949" s="21">
        <v>2239</v>
      </c>
      <c r="M949" s="21">
        <v>670</v>
      </c>
      <c r="N949" s="150">
        <f t="shared" si="1178"/>
        <v>16680</v>
      </c>
      <c r="O949" s="22">
        <f t="shared" si="1179"/>
        <v>1390</v>
      </c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s="9" customFormat="1" ht="15.75">
      <c r="A950" s="37" t="s">
        <v>330</v>
      </c>
      <c r="B950" s="21">
        <v>10</v>
      </c>
      <c r="C950" s="87">
        <v>8</v>
      </c>
      <c r="D950" s="87">
        <v>7</v>
      </c>
      <c r="E950" s="21">
        <v>4</v>
      </c>
      <c r="F950" s="21">
        <v>3</v>
      </c>
      <c r="G950" s="21">
        <v>2</v>
      </c>
      <c r="H950" s="21">
        <v>4</v>
      </c>
      <c r="I950" s="21">
        <v>8</v>
      </c>
      <c r="J950" s="87">
        <v>4</v>
      </c>
      <c r="K950" s="87">
        <v>3</v>
      </c>
      <c r="L950" s="21">
        <v>2</v>
      </c>
      <c r="M950" s="21">
        <v>1</v>
      </c>
      <c r="N950" s="150">
        <f t="shared" si="1178"/>
        <v>56</v>
      </c>
      <c r="O950" s="22">
        <f t="shared" si="1179"/>
        <v>4.666666666666667</v>
      </c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s="9" customFormat="1" ht="15.75">
      <c r="A951" s="37" t="s">
        <v>333</v>
      </c>
      <c r="B951" s="21">
        <v>372</v>
      </c>
      <c r="C951" s="21">
        <v>276</v>
      </c>
      <c r="D951" s="21">
        <v>412</v>
      </c>
      <c r="E951" s="21">
        <v>306</v>
      </c>
      <c r="F951" s="21">
        <v>311</v>
      </c>
      <c r="G951" s="21">
        <v>332</v>
      </c>
      <c r="H951" s="21">
        <v>389</v>
      </c>
      <c r="I951" s="21">
        <v>422</v>
      </c>
      <c r="J951" s="87">
        <v>452</v>
      </c>
      <c r="K951" s="87">
        <v>311</v>
      </c>
      <c r="L951" s="21">
        <v>205</v>
      </c>
      <c r="M951" s="21">
        <v>336</v>
      </c>
      <c r="N951" s="150">
        <f t="shared" si="1178"/>
        <v>4124</v>
      </c>
      <c r="O951" s="22">
        <f t="shared" si="1179"/>
        <v>343.66666666666669</v>
      </c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s="9" customFormat="1" ht="15.75">
      <c r="A952" s="37" t="s">
        <v>151</v>
      </c>
      <c r="B952" s="21">
        <v>64</v>
      </c>
      <c r="C952" s="87">
        <v>61</v>
      </c>
      <c r="D952" s="87">
        <v>70</v>
      </c>
      <c r="E952" s="21">
        <v>48</v>
      </c>
      <c r="F952" s="21">
        <v>35</v>
      </c>
      <c r="G952" s="21">
        <v>46</v>
      </c>
      <c r="H952" s="21">
        <v>57</v>
      </c>
      <c r="I952" s="21">
        <v>53</v>
      </c>
      <c r="J952" s="87">
        <v>52</v>
      </c>
      <c r="K952" s="87">
        <v>88</v>
      </c>
      <c r="L952" s="21">
        <v>69</v>
      </c>
      <c r="M952" s="21">
        <v>70</v>
      </c>
      <c r="N952" s="150">
        <f t="shared" si="1178"/>
        <v>713</v>
      </c>
      <c r="O952" s="22">
        <f t="shared" si="1179"/>
        <v>59.416666666666664</v>
      </c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s="9" customFormat="1" ht="15.75">
      <c r="A953" s="37" t="s">
        <v>152</v>
      </c>
      <c r="B953" s="21">
        <v>418</v>
      </c>
      <c r="C953" s="87">
        <v>369</v>
      </c>
      <c r="D953" s="87">
        <v>389</v>
      </c>
      <c r="E953" s="21">
        <v>275</v>
      </c>
      <c r="F953" s="21">
        <v>236</v>
      </c>
      <c r="G953" s="21">
        <v>353</v>
      </c>
      <c r="H953" s="21">
        <v>425</v>
      </c>
      <c r="I953" s="21">
        <v>462</v>
      </c>
      <c r="J953" s="87">
        <v>478</v>
      </c>
      <c r="K953" s="87">
        <v>517</v>
      </c>
      <c r="L953" s="21">
        <v>464</v>
      </c>
      <c r="M953" s="21">
        <v>381</v>
      </c>
      <c r="N953" s="150">
        <f t="shared" si="1178"/>
        <v>4767</v>
      </c>
      <c r="O953" s="22">
        <f t="shared" si="1179"/>
        <v>397.25</v>
      </c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s="9" customFormat="1" ht="15.75">
      <c r="A954" s="62" t="s">
        <v>21</v>
      </c>
      <c r="B954" s="24">
        <f t="shared" ref="B954:C954" si="1180">SUM(B945:B953)</f>
        <v>20677</v>
      </c>
      <c r="C954" s="24">
        <f t="shared" si="1180"/>
        <v>17428</v>
      </c>
      <c r="D954" s="24">
        <f t="shared" ref="D954:E954" si="1181">SUM(D945:D953)</f>
        <v>18146</v>
      </c>
      <c r="E954" s="24">
        <f t="shared" si="1181"/>
        <v>13648</v>
      </c>
      <c r="F954" s="24">
        <f t="shared" ref="F954:G954" si="1182">SUM(F945:F953)</f>
        <v>12944</v>
      </c>
      <c r="G954" s="24">
        <f t="shared" si="1182"/>
        <v>16537</v>
      </c>
      <c r="H954" s="24">
        <f t="shared" ref="H954:I954" si="1183">SUM(H945:H953)</f>
        <v>20958</v>
      </c>
      <c r="I954" s="24">
        <f t="shared" si="1183"/>
        <v>20914</v>
      </c>
      <c r="J954" s="24">
        <f t="shared" ref="J954:K954" si="1184">SUM(J945:J953)</f>
        <v>20352</v>
      </c>
      <c r="K954" s="24">
        <f t="shared" si="1184"/>
        <v>21103</v>
      </c>
      <c r="L954" s="24">
        <f t="shared" ref="L954:M954" si="1185">SUM(L945:L953)</f>
        <v>20600</v>
      </c>
      <c r="M954" s="24">
        <f t="shared" si="1185"/>
        <v>18631</v>
      </c>
      <c r="N954" s="144">
        <f>SUM(N945:N953)</f>
        <v>221938</v>
      </c>
      <c r="O954" s="25">
        <f>SUM(O945:O953)</f>
        <v>18494.833333333339</v>
      </c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s="9" customFormat="1" ht="15.75">
      <c r="A955" s="73" t="s">
        <v>112</v>
      </c>
      <c r="B955" s="48">
        <f t="shared" ref="B955:G955" si="1186">IF(B954=0,"",B954/B$1870)</f>
        <v>667</v>
      </c>
      <c r="C955" s="48">
        <f t="shared" si="1186"/>
        <v>622.42857142857144</v>
      </c>
      <c r="D955" s="48">
        <f t="shared" si="1186"/>
        <v>585.35483870967744</v>
      </c>
      <c r="E955" s="48">
        <f t="shared" si="1186"/>
        <v>454.93333333333334</v>
      </c>
      <c r="F955" s="48">
        <f t="shared" si="1186"/>
        <v>417.54838709677421</v>
      </c>
      <c r="G955" s="48">
        <f t="shared" si="1186"/>
        <v>551.23333333333335</v>
      </c>
      <c r="H955" s="48">
        <f t="shared" ref="H955:I955" si="1187">IF(H954=0,"",H954/H$1870)</f>
        <v>676.06451612903231</v>
      </c>
      <c r="I955" s="48">
        <f t="shared" si="1187"/>
        <v>674.64516129032256</v>
      </c>
      <c r="J955" s="48">
        <f t="shared" ref="J955:K955" si="1188">IF(J954=0,"",J954/J$1870)</f>
        <v>678.4</v>
      </c>
      <c r="K955" s="48">
        <f t="shared" si="1188"/>
        <v>680.74193548387098</v>
      </c>
      <c r="L955" s="48">
        <f t="shared" ref="L955:M955" si="1189">IF(L954=0,"",L954/L$1870)</f>
        <v>686.66666666666663</v>
      </c>
      <c r="M955" s="48">
        <f t="shared" si="1189"/>
        <v>601</v>
      </c>
      <c r="N955" s="156">
        <f>SUM(B955:M955)</f>
        <v>7296.0167434715831</v>
      </c>
      <c r="O955" s="48">
        <f>IF(N955=0,0,AVERAGE(B955:M955))</f>
        <v>608.00139528929856</v>
      </c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s="9" customFormat="1" ht="15.75">
      <c r="A956" s="33"/>
      <c r="B956" s="34"/>
      <c r="C956" s="34"/>
      <c r="D956" s="34"/>
      <c r="E956" s="35"/>
      <c r="F956" s="35"/>
      <c r="G956" s="35"/>
      <c r="H956" s="35"/>
      <c r="I956" s="35"/>
      <c r="J956" s="35"/>
      <c r="K956" s="35"/>
      <c r="L956" s="35"/>
      <c r="M956" s="35"/>
      <c r="N956" s="153"/>
      <c r="O956" s="112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s="9" customFormat="1" ht="15.75">
      <c r="A957" s="204" t="s">
        <v>786</v>
      </c>
      <c r="B957" s="205"/>
      <c r="C957" s="205"/>
      <c r="D957" s="205"/>
      <c r="E957" s="205"/>
      <c r="F957" s="205"/>
      <c r="G957" s="205"/>
      <c r="H957" s="205"/>
      <c r="I957" s="205"/>
      <c r="J957" s="205"/>
      <c r="K957" s="205"/>
      <c r="L957" s="205"/>
      <c r="M957" s="205"/>
      <c r="N957" s="205"/>
      <c r="O957" s="277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s="9" customFormat="1" ht="15.75">
      <c r="A958" s="44" t="s">
        <v>18</v>
      </c>
      <c r="B958" s="38">
        <v>949</v>
      </c>
      <c r="C958" s="38">
        <v>810</v>
      </c>
      <c r="D958" s="38">
        <v>538</v>
      </c>
      <c r="E958" s="38">
        <v>405</v>
      </c>
      <c r="F958" s="38">
        <v>947</v>
      </c>
      <c r="G958" s="38">
        <v>879</v>
      </c>
      <c r="H958" s="38">
        <v>2143</v>
      </c>
      <c r="I958" s="38">
        <v>1288</v>
      </c>
      <c r="J958" s="38">
        <v>1151</v>
      </c>
      <c r="K958" s="38">
        <v>1066</v>
      </c>
      <c r="L958" s="38">
        <v>923</v>
      </c>
      <c r="M958" s="38">
        <v>2239</v>
      </c>
      <c r="N958" s="155">
        <f>SUM(B958:M958)</f>
        <v>13338</v>
      </c>
      <c r="O958" s="45">
        <f>IF(N958=0,0,AVERAGE(B958:M958))</f>
        <v>1111.5</v>
      </c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s="9" customFormat="1" ht="15.75">
      <c r="A959" s="44" t="s">
        <v>19</v>
      </c>
      <c r="B959" s="38">
        <v>4827</v>
      </c>
      <c r="C959" s="38">
        <v>3851</v>
      </c>
      <c r="D959" s="38">
        <v>3636</v>
      </c>
      <c r="E959" s="38">
        <v>3960</v>
      </c>
      <c r="F959" s="38">
        <v>3190</v>
      </c>
      <c r="G959" s="38">
        <v>3333</v>
      </c>
      <c r="H959" s="38">
        <v>4651</v>
      </c>
      <c r="I959" s="38">
        <v>4826</v>
      </c>
      <c r="J959" s="38">
        <v>4449</v>
      </c>
      <c r="K959" s="38">
        <v>3279</v>
      </c>
      <c r="L959" s="38">
        <v>3504</v>
      </c>
      <c r="M959" s="38">
        <v>2166</v>
      </c>
      <c r="N959" s="155">
        <f>SUM(B959:M959)</f>
        <v>45672</v>
      </c>
      <c r="O959" s="45">
        <f>IF(N959=0,0,AVERAGE(B959:M959))</f>
        <v>3806</v>
      </c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s="9" customFormat="1" ht="15.75">
      <c r="A960" s="44" t="s">
        <v>20</v>
      </c>
      <c r="B960" s="38">
        <v>2968</v>
      </c>
      <c r="C960" s="38">
        <v>2350</v>
      </c>
      <c r="D960" s="38">
        <v>2143</v>
      </c>
      <c r="E960" s="38">
        <v>1574</v>
      </c>
      <c r="F960" s="38">
        <v>1890</v>
      </c>
      <c r="G960" s="38">
        <v>1864</v>
      </c>
      <c r="H960" s="38">
        <v>2088</v>
      </c>
      <c r="I960" s="38">
        <v>2692</v>
      </c>
      <c r="J960" s="38">
        <v>2609</v>
      </c>
      <c r="K960" s="38">
        <v>1806</v>
      </c>
      <c r="L960" s="38">
        <v>1664</v>
      </c>
      <c r="M960" s="38">
        <v>1587</v>
      </c>
      <c r="N960" s="155">
        <f>SUM(B960:M960)</f>
        <v>25235</v>
      </c>
      <c r="O960" s="45">
        <f>IF(N960=0,0,AVERAGE(B960:M960))</f>
        <v>2102.9166666666665</v>
      </c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s="9" customFormat="1" ht="15.75">
      <c r="A961" s="73" t="s">
        <v>21</v>
      </c>
      <c r="B961" s="47">
        <f t="shared" ref="B961:C961" si="1190">SUM(B958:B960)</f>
        <v>8744</v>
      </c>
      <c r="C961" s="47">
        <f t="shared" si="1190"/>
        <v>7011</v>
      </c>
      <c r="D961" s="47">
        <f t="shared" ref="D961:E961" si="1191">SUM(D958:D960)</f>
        <v>6317</v>
      </c>
      <c r="E961" s="47">
        <f t="shared" si="1191"/>
        <v>5939</v>
      </c>
      <c r="F961" s="47">
        <f t="shared" ref="F961:G961" si="1192">SUM(F958:F960)</f>
        <v>6027</v>
      </c>
      <c r="G961" s="47">
        <f t="shared" si="1192"/>
        <v>6076</v>
      </c>
      <c r="H961" s="47">
        <f t="shared" ref="H961:I961" si="1193">SUM(H958:H960)</f>
        <v>8882</v>
      </c>
      <c r="I961" s="47">
        <f t="shared" si="1193"/>
        <v>8806</v>
      </c>
      <c r="J961" s="47">
        <f t="shared" ref="J961:K961" si="1194">SUM(J958:J960)</f>
        <v>8209</v>
      </c>
      <c r="K961" s="47">
        <f t="shared" si="1194"/>
        <v>6151</v>
      </c>
      <c r="L961" s="47">
        <f t="shared" ref="L961:M961" si="1195">SUM(L958:L960)</f>
        <v>6091</v>
      </c>
      <c r="M961" s="47">
        <f t="shared" si="1195"/>
        <v>5992</v>
      </c>
      <c r="N961" s="156">
        <f>SUM(N958:N960)</f>
        <v>84245</v>
      </c>
      <c r="O961" s="48">
        <f>SUM(O958:O960)</f>
        <v>7020.4166666666661</v>
      </c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s="9" customFormat="1" ht="15.75">
      <c r="A962" s="73" t="s">
        <v>112</v>
      </c>
      <c r="B962" s="48">
        <f t="shared" ref="B962:G962" si="1196">IF(B961=0,"",B961/B$1870)</f>
        <v>282.06451612903226</v>
      </c>
      <c r="C962" s="48">
        <f t="shared" si="1196"/>
        <v>250.39285714285714</v>
      </c>
      <c r="D962" s="48">
        <f t="shared" si="1196"/>
        <v>203.7741935483871</v>
      </c>
      <c r="E962" s="48">
        <f t="shared" si="1196"/>
        <v>197.96666666666667</v>
      </c>
      <c r="F962" s="48">
        <f t="shared" si="1196"/>
        <v>194.41935483870967</v>
      </c>
      <c r="G962" s="48">
        <f t="shared" si="1196"/>
        <v>202.53333333333333</v>
      </c>
      <c r="H962" s="48">
        <f t="shared" ref="H962:I962" si="1197">IF(H961=0,"",H961/H$1870)</f>
        <v>286.51612903225805</v>
      </c>
      <c r="I962" s="48">
        <f t="shared" si="1197"/>
        <v>284.06451612903226</v>
      </c>
      <c r="J962" s="48">
        <f t="shared" ref="J962:K962" si="1198">IF(J961=0,"",J961/J$1870)</f>
        <v>273.63333333333333</v>
      </c>
      <c r="K962" s="48">
        <f t="shared" si="1198"/>
        <v>198.41935483870967</v>
      </c>
      <c r="L962" s="48">
        <f t="shared" ref="L962:M962" si="1199">IF(L961=0,"",L961/L$1870)</f>
        <v>203.03333333333333</v>
      </c>
      <c r="M962" s="48">
        <f t="shared" si="1199"/>
        <v>193.29032258064515</v>
      </c>
      <c r="N962" s="156">
        <f>SUM(B962:M962)</f>
        <v>2770.107910906298</v>
      </c>
      <c r="O962" s="48">
        <f>IF(N962=0,0,AVERAGE(B962:M962))</f>
        <v>230.84232590885816</v>
      </c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s="9" customFormat="1" ht="15.75">
      <c r="A963" s="56"/>
      <c r="B963" s="54"/>
      <c r="C963" s="54"/>
      <c r="D963" s="54"/>
      <c r="E963" s="55"/>
      <c r="F963" s="55"/>
      <c r="G963" s="55"/>
      <c r="H963" s="55"/>
      <c r="I963" s="55"/>
      <c r="J963" s="55"/>
      <c r="K963" s="55"/>
      <c r="L963" s="55"/>
      <c r="M963" s="55"/>
      <c r="N963" s="158"/>
      <c r="O963" s="57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s="9" customFormat="1" ht="15.75">
      <c r="A964" s="66" t="s">
        <v>787</v>
      </c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49"/>
      <c r="O964" s="19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s="9" customFormat="1" ht="15.75">
      <c r="A965" s="37" t="s">
        <v>114</v>
      </c>
      <c r="B965" s="21">
        <v>11933</v>
      </c>
      <c r="C965" s="21">
        <v>10417</v>
      </c>
      <c r="D965" s="21">
        <v>11829</v>
      </c>
      <c r="E965" s="21">
        <v>7709</v>
      </c>
      <c r="F965" s="21">
        <v>6917</v>
      </c>
      <c r="G965" s="21">
        <v>10461</v>
      </c>
      <c r="H965" s="21">
        <v>12076</v>
      </c>
      <c r="I965" s="21">
        <v>12108</v>
      </c>
      <c r="J965" s="21">
        <v>12143</v>
      </c>
      <c r="K965" s="21">
        <v>14952</v>
      </c>
      <c r="L965" s="21">
        <v>14509</v>
      </c>
      <c r="M965" s="21">
        <v>12639</v>
      </c>
      <c r="N965" s="150">
        <f>SUM(B965:M965)</f>
        <v>137693</v>
      </c>
      <c r="O965" s="22">
        <f>IF(N965=0,0,AVERAGE(B965:M965))</f>
        <v>11474.416666666666</v>
      </c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s="9" customFormat="1" ht="15.75">
      <c r="A966" s="62" t="s">
        <v>21</v>
      </c>
      <c r="B966" s="24">
        <f t="shared" ref="B966:C966" si="1200">SUM(B965)</f>
        <v>11933</v>
      </c>
      <c r="C966" s="24">
        <f t="shared" si="1200"/>
        <v>10417</v>
      </c>
      <c r="D966" s="24">
        <f t="shared" ref="D966:E966" si="1201">SUM(D965)</f>
        <v>11829</v>
      </c>
      <c r="E966" s="24">
        <f t="shared" si="1201"/>
        <v>7709</v>
      </c>
      <c r="F966" s="24">
        <f t="shared" ref="F966:G966" si="1202">SUM(F965)</f>
        <v>6917</v>
      </c>
      <c r="G966" s="24">
        <f t="shared" si="1202"/>
        <v>10461</v>
      </c>
      <c r="H966" s="24">
        <f t="shared" ref="H966:I966" si="1203">SUM(H965)</f>
        <v>12076</v>
      </c>
      <c r="I966" s="24">
        <f t="shared" si="1203"/>
        <v>12108</v>
      </c>
      <c r="J966" s="24">
        <f t="shared" ref="J966:K966" si="1204">SUM(J965)</f>
        <v>12143</v>
      </c>
      <c r="K966" s="24">
        <f t="shared" si="1204"/>
        <v>14952</v>
      </c>
      <c r="L966" s="24">
        <f t="shared" ref="L966:M966" si="1205">SUM(L965)</f>
        <v>14509</v>
      </c>
      <c r="M966" s="24">
        <f t="shared" si="1205"/>
        <v>12639</v>
      </c>
      <c r="N966" s="144">
        <f>SUM(N965)</f>
        <v>137693</v>
      </c>
      <c r="O966" s="25">
        <f>SUM(O965)</f>
        <v>11474.416666666666</v>
      </c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s="9" customFormat="1" ht="15.75">
      <c r="A967" s="62" t="s">
        <v>112</v>
      </c>
      <c r="B967" s="25">
        <f t="shared" ref="B967:G967" si="1206">IF(B966=0,"",B966/B$1870)</f>
        <v>384.93548387096774</v>
      </c>
      <c r="C967" s="25">
        <f t="shared" si="1206"/>
        <v>372.03571428571428</v>
      </c>
      <c r="D967" s="25">
        <f t="shared" si="1206"/>
        <v>381.58064516129031</v>
      </c>
      <c r="E967" s="25">
        <f t="shared" si="1206"/>
        <v>256.96666666666664</v>
      </c>
      <c r="F967" s="25">
        <f t="shared" si="1206"/>
        <v>223.12903225806451</v>
      </c>
      <c r="G967" s="25">
        <f t="shared" si="1206"/>
        <v>348.7</v>
      </c>
      <c r="H967" s="25">
        <f t="shared" ref="H967:I967" si="1207">IF(H966=0,"",H966/H$1870)</f>
        <v>389.54838709677421</v>
      </c>
      <c r="I967" s="25">
        <f t="shared" si="1207"/>
        <v>390.58064516129031</v>
      </c>
      <c r="J967" s="25">
        <f t="shared" ref="J967:K967" si="1208">IF(J966=0,"",J966/J$1870)</f>
        <v>404.76666666666665</v>
      </c>
      <c r="K967" s="25">
        <f t="shared" si="1208"/>
        <v>482.32258064516128</v>
      </c>
      <c r="L967" s="25">
        <f t="shared" ref="L967:M967" si="1209">IF(L966=0,"",L966/L$1870)</f>
        <v>483.63333333333333</v>
      </c>
      <c r="M967" s="25">
        <f t="shared" si="1209"/>
        <v>407.70967741935482</v>
      </c>
      <c r="N967" s="144">
        <f>SUM(B967:M967)</f>
        <v>4525.9088325652847</v>
      </c>
      <c r="O967" s="25">
        <f>IF(N967=0,0,AVERAGE(B967:M967))</f>
        <v>377.15906938044037</v>
      </c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s="9" customFormat="1">
      <c r="A968" s="26"/>
      <c r="B968" s="27"/>
      <c r="C968" s="27"/>
      <c r="D968" s="27"/>
      <c r="E968" s="28"/>
      <c r="F968" s="28"/>
      <c r="G968" s="28"/>
      <c r="H968" s="28"/>
      <c r="I968" s="28"/>
      <c r="J968" s="28"/>
      <c r="K968" s="28"/>
      <c r="L968" s="28"/>
      <c r="M968" s="28"/>
      <c r="N968" s="151"/>
      <c r="O968" s="16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s="9" customFormat="1" ht="15.75">
      <c r="A969" s="97" t="s">
        <v>153</v>
      </c>
      <c r="B969" s="92">
        <f t="shared" ref="B969:C969" si="1210">B961</f>
        <v>8744</v>
      </c>
      <c r="C969" s="92">
        <f t="shared" si="1210"/>
        <v>7011</v>
      </c>
      <c r="D969" s="92">
        <f t="shared" ref="D969:E969" si="1211">D961</f>
        <v>6317</v>
      </c>
      <c r="E969" s="92">
        <f t="shared" si="1211"/>
        <v>5939</v>
      </c>
      <c r="F969" s="92">
        <f t="shared" ref="F969:G969" si="1212">F961</f>
        <v>6027</v>
      </c>
      <c r="G969" s="92">
        <f t="shared" si="1212"/>
        <v>6076</v>
      </c>
      <c r="H969" s="92">
        <f t="shared" ref="H969:I969" si="1213">H961</f>
        <v>8882</v>
      </c>
      <c r="I969" s="92">
        <f t="shared" si="1213"/>
        <v>8806</v>
      </c>
      <c r="J969" s="92">
        <f t="shared" ref="J969:K969" si="1214">J961</f>
        <v>8209</v>
      </c>
      <c r="K969" s="92">
        <f t="shared" si="1214"/>
        <v>6151</v>
      </c>
      <c r="L969" s="92">
        <f t="shared" ref="L969:M969" si="1215">L961</f>
        <v>6091</v>
      </c>
      <c r="M969" s="92">
        <f t="shared" si="1215"/>
        <v>5992</v>
      </c>
      <c r="N969" s="150">
        <f>SUM(B969:M969)</f>
        <v>84245</v>
      </c>
      <c r="O969" s="22">
        <f>IF(N969=0,0,AVERAGE(B969:M969))</f>
        <v>7020.416666666667</v>
      </c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s="9" customFormat="1" ht="15.75">
      <c r="A970" s="97" t="s">
        <v>154</v>
      </c>
      <c r="B970" s="92">
        <f t="shared" ref="B970:C970" si="1216">B966</f>
        <v>11933</v>
      </c>
      <c r="C970" s="92">
        <f t="shared" si="1216"/>
        <v>10417</v>
      </c>
      <c r="D970" s="92">
        <f t="shared" ref="D970:E970" si="1217">D966</f>
        <v>11829</v>
      </c>
      <c r="E970" s="92">
        <f t="shared" si="1217"/>
        <v>7709</v>
      </c>
      <c r="F970" s="92">
        <f t="shared" ref="F970:G970" si="1218">F966</f>
        <v>6917</v>
      </c>
      <c r="G970" s="92">
        <f t="shared" si="1218"/>
        <v>10461</v>
      </c>
      <c r="H970" s="92">
        <f t="shared" ref="H970:I970" si="1219">H966</f>
        <v>12076</v>
      </c>
      <c r="I970" s="92">
        <f t="shared" si="1219"/>
        <v>12108</v>
      </c>
      <c r="J970" s="92">
        <f t="shared" ref="J970:K970" si="1220">J966</f>
        <v>12143</v>
      </c>
      <c r="K970" s="92">
        <f t="shared" si="1220"/>
        <v>14952</v>
      </c>
      <c r="L970" s="92">
        <f t="shared" ref="L970:M970" si="1221">L966</f>
        <v>14509</v>
      </c>
      <c r="M970" s="92">
        <f t="shared" si="1221"/>
        <v>12639</v>
      </c>
      <c r="N970" s="150">
        <f>SUM(B970:M970)</f>
        <v>137693</v>
      </c>
      <c r="O970" s="22">
        <f>IF(N970=0,0,AVERAGE(B970:M970))</f>
        <v>11474.416666666666</v>
      </c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s="9" customFormat="1" ht="15.75">
      <c r="A971" s="267" t="s">
        <v>155</v>
      </c>
      <c r="B971" s="372">
        <f t="shared" ref="B971:C971" si="1222">SUM(B969:B970)</f>
        <v>20677</v>
      </c>
      <c r="C971" s="372">
        <f t="shared" si="1222"/>
        <v>17428</v>
      </c>
      <c r="D971" s="372">
        <f t="shared" ref="D971:E971" si="1223">SUM(D969:D970)</f>
        <v>18146</v>
      </c>
      <c r="E971" s="372">
        <f t="shared" si="1223"/>
        <v>13648</v>
      </c>
      <c r="F971" s="372">
        <f t="shared" ref="F971:G971" si="1224">SUM(F969:F970)</f>
        <v>12944</v>
      </c>
      <c r="G971" s="372">
        <f t="shared" si="1224"/>
        <v>16537</v>
      </c>
      <c r="H971" s="372">
        <f t="shared" ref="H971:I971" si="1225">SUM(H969:H970)</f>
        <v>20958</v>
      </c>
      <c r="I971" s="372">
        <f t="shared" si="1225"/>
        <v>20914</v>
      </c>
      <c r="J971" s="372">
        <f t="shared" ref="J971:K971" si="1226">SUM(J969:J970)</f>
        <v>20352</v>
      </c>
      <c r="K971" s="372">
        <f t="shared" si="1226"/>
        <v>21103</v>
      </c>
      <c r="L971" s="372">
        <f t="shared" ref="L971:M971" si="1227">SUM(L969:L970)</f>
        <v>20600</v>
      </c>
      <c r="M971" s="372">
        <f t="shared" si="1227"/>
        <v>18631</v>
      </c>
      <c r="N971" s="373">
        <f>SUM(N969:N970)</f>
        <v>221938</v>
      </c>
      <c r="O971" s="374">
        <f>SUM(O969:O970)</f>
        <v>18494.833333333332</v>
      </c>
    </row>
    <row r="972" spans="1:26" s="9" customFormat="1">
      <c r="A972" s="86"/>
      <c r="B972" s="110"/>
      <c r="C972" s="110"/>
      <c r="D972" s="110"/>
      <c r="E972" s="110"/>
      <c r="F972" s="110"/>
      <c r="G972" s="110"/>
      <c r="H972" s="110"/>
      <c r="I972" s="110"/>
      <c r="J972" s="110"/>
      <c r="K972" s="110"/>
      <c r="L972" s="110"/>
      <c r="M972" s="110"/>
      <c r="N972" s="170"/>
      <c r="O972" s="111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s="9" customFormat="1" ht="15.75">
      <c r="A973" s="17" t="s">
        <v>609</v>
      </c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49"/>
      <c r="O973" s="19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s="9" customFormat="1" ht="15.75">
      <c r="A974" s="66" t="s">
        <v>355</v>
      </c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49"/>
      <c r="O974" s="19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s="9" customFormat="1" ht="15.75">
      <c r="A975" s="40" t="s">
        <v>18</v>
      </c>
      <c r="B975" s="21">
        <v>0</v>
      </c>
      <c r="C975" s="21">
        <v>0</v>
      </c>
      <c r="D975" s="21">
        <v>0</v>
      </c>
      <c r="E975" s="21">
        <v>0</v>
      </c>
      <c r="F975" s="21">
        <v>0</v>
      </c>
      <c r="G975" s="21">
        <v>0</v>
      </c>
      <c r="H975" s="21">
        <v>0</v>
      </c>
      <c r="I975" s="21">
        <v>0</v>
      </c>
      <c r="J975" s="87">
        <v>0</v>
      </c>
      <c r="K975" s="21">
        <v>0</v>
      </c>
      <c r="L975" s="21">
        <v>0</v>
      </c>
      <c r="M975" s="21">
        <v>0</v>
      </c>
      <c r="N975" s="150">
        <f>SUM(B975:M975)</f>
        <v>0</v>
      </c>
      <c r="O975" s="22">
        <f>IF(N975=0,0,AVERAGE(B975:M975))</f>
        <v>0</v>
      </c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s="9" customFormat="1" ht="15.75">
      <c r="A976" s="40" t="s">
        <v>19</v>
      </c>
      <c r="B976" s="21">
        <v>0</v>
      </c>
      <c r="C976" s="21">
        <v>0</v>
      </c>
      <c r="D976" s="21">
        <v>0</v>
      </c>
      <c r="E976" s="21">
        <v>0</v>
      </c>
      <c r="F976" s="21">
        <v>0</v>
      </c>
      <c r="G976" s="21">
        <v>0</v>
      </c>
      <c r="H976" s="21">
        <v>0</v>
      </c>
      <c r="I976" s="21">
        <v>0</v>
      </c>
      <c r="J976" s="87">
        <v>0</v>
      </c>
      <c r="K976" s="21">
        <v>0</v>
      </c>
      <c r="L976" s="21">
        <v>0</v>
      </c>
      <c r="M976" s="21">
        <v>0</v>
      </c>
      <c r="N976" s="150">
        <f>SUM(B976:M976)</f>
        <v>0</v>
      </c>
      <c r="O976" s="22">
        <f>IF(N976=0,0,AVERAGE(B976:M976))</f>
        <v>0</v>
      </c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s="9" customFormat="1" ht="15.75">
      <c r="A977" s="40" t="s">
        <v>20</v>
      </c>
      <c r="B977" s="21">
        <v>0</v>
      </c>
      <c r="C977" s="21">
        <v>0</v>
      </c>
      <c r="D977" s="21">
        <v>0</v>
      </c>
      <c r="E977" s="21">
        <v>0</v>
      </c>
      <c r="F977" s="21">
        <v>0</v>
      </c>
      <c r="G977" s="21">
        <v>0</v>
      </c>
      <c r="H977" s="21">
        <v>0</v>
      </c>
      <c r="I977" s="21">
        <v>0</v>
      </c>
      <c r="J977" s="87">
        <v>0</v>
      </c>
      <c r="K977" s="21">
        <v>0</v>
      </c>
      <c r="L977" s="21">
        <v>0</v>
      </c>
      <c r="M977" s="21">
        <v>0</v>
      </c>
      <c r="N977" s="150">
        <f>SUM(B977:M977)</f>
        <v>0</v>
      </c>
      <c r="O977" s="22">
        <f>IF(N977=0,0,AVERAGE(B977:M977))</f>
        <v>0</v>
      </c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s="9" customFormat="1" ht="15.75">
      <c r="A978" s="62" t="s">
        <v>21</v>
      </c>
      <c r="B978" s="24">
        <f t="shared" ref="B978:C978" si="1228">SUM(B975:B977)</f>
        <v>0</v>
      </c>
      <c r="C978" s="24">
        <f t="shared" si="1228"/>
        <v>0</v>
      </c>
      <c r="D978" s="24">
        <f t="shared" ref="D978:E978" si="1229">SUM(D975:D977)</f>
        <v>0</v>
      </c>
      <c r="E978" s="24">
        <f t="shared" si="1229"/>
        <v>0</v>
      </c>
      <c r="F978" s="24">
        <f t="shared" ref="F978:G978" si="1230">SUM(F975:F977)</f>
        <v>0</v>
      </c>
      <c r="G978" s="24">
        <f t="shared" si="1230"/>
        <v>0</v>
      </c>
      <c r="H978" s="24">
        <f t="shared" ref="H978:I978" si="1231">SUM(H975:H977)</f>
        <v>0</v>
      </c>
      <c r="I978" s="24">
        <f t="shared" si="1231"/>
        <v>0</v>
      </c>
      <c r="J978" s="24">
        <f t="shared" ref="J978:K978" si="1232">SUM(J975:J977)</f>
        <v>0</v>
      </c>
      <c r="K978" s="24">
        <f t="shared" si="1232"/>
        <v>0</v>
      </c>
      <c r="L978" s="24">
        <f t="shared" ref="L978:M978" si="1233">SUM(L975:L977)</f>
        <v>0</v>
      </c>
      <c r="M978" s="24">
        <f t="shared" si="1233"/>
        <v>0</v>
      </c>
      <c r="N978" s="144">
        <f>SUM(N975:N977)</f>
        <v>0</v>
      </c>
      <c r="O978" s="25">
        <f>SUM(O975:O977)</f>
        <v>0</v>
      </c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s="9" customFormat="1" ht="15.75">
      <c r="A979" s="62" t="s">
        <v>112</v>
      </c>
      <c r="B979" s="25" t="s">
        <v>44</v>
      </c>
      <c r="C979" s="25" t="s">
        <v>44</v>
      </c>
      <c r="D979" s="25" t="s">
        <v>44</v>
      </c>
      <c r="E979" s="25" t="s">
        <v>44</v>
      </c>
      <c r="F979" s="25" t="s">
        <v>44</v>
      </c>
      <c r="G979" s="25" t="s">
        <v>44</v>
      </c>
      <c r="H979" s="25" t="s">
        <v>44</v>
      </c>
      <c r="I979" s="25" t="s">
        <v>44</v>
      </c>
      <c r="J979" s="25" t="s">
        <v>44</v>
      </c>
      <c r="K979" s="25" t="s">
        <v>44</v>
      </c>
      <c r="L979" s="25" t="s">
        <v>44</v>
      </c>
      <c r="M979" s="25" t="s">
        <v>44</v>
      </c>
      <c r="N979" s="144">
        <f>SUM(B979:M979)</f>
        <v>0</v>
      </c>
      <c r="O979" s="25">
        <f>IF(N979=0,0,AVERAGE(B979:M979))</f>
        <v>0</v>
      </c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s="9" customFormat="1" ht="15.75">
      <c r="A980" s="88"/>
      <c r="B980" s="89"/>
      <c r="C980" s="89"/>
      <c r="D980" s="89"/>
      <c r="E980" s="89"/>
      <c r="F980" s="89"/>
      <c r="G980" s="89"/>
      <c r="H980" s="89"/>
      <c r="I980" s="89"/>
      <c r="J980" s="89"/>
      <c r="K980" s="89"/>
      <c r="L980" s="89"/>
      <c r="M980" s="89"/>
      <c r="N980" s="167"/>
      <c r="O980" s="90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s="9" customFormat="1" ht="15.75">
      <c r="A981" s="66" t="s">
        <v>356</v>
      </c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49"/>
      <c r="O981" s="19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s="9" customFormat="1" ht="15.75">
      <c r="A982" s="104" t="s">
        <v>114</v>
      </c>
      <c r="B982" s="105">
        <v>15</v>
      </c>
      <c r="C982" s="105">
        <v>20</v>
      </c>
      <c r="D982" s="105">
        <v>11</v>
      </c>
      <c r="E982" s="105">
        <v>8</v>
      </c>
      <c r="F982" s="105">
        <v>14</v>
      </c>
      <c r="G982" s="105">
        <v>18</v>
      </c>
      <c r="H982" s="105">
        <v>20</v>
      </c>
      <c r="I982" s="105">
        <v>19</v>
      </c>
      <c r="J982" s="105">
        <v>14</v>
      </c>
      <c r="K982" s="105">
        <v>17</v>
      </c>
      <c r="L982" s="105">
        <v>20</v>
      </c>
      <c r="M982" s="105">
        <v>16</v>
      </c>
      <c r="N982" s="150">
        <f>SUM(B982:M982)</f>
        <v>192</v>
      </c>
      <c r="O982" s="22">
        <f>IF(N982=0,0,AVERAGE(B982:M982))</f>
        <v>16</v>
      </c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s="9" customFormat="1" ht="15.75">
      <c r="A983" s="62" t="s">
        <v>21</v>
      </c>
      <c r="B983" s="24">
        <f t="shared" ref="B983:C983" si="1234">SUM(B982)</f>
        <v>15</v>
      </c>
      <c r="C983" s="24">
        <f t="shared" si="1234"/>
        <v>20</v>
      </c>
      <c r="D983" s="24">
        <f t="shared" ref="D983:E983" si="1235">SUM(D982)</f>
        <v>11</v>
      </c>
      <c r="E983" s="24">
        <f t="shared" si="1235"/>
        <v>8</v>
      </c>
      <c r="F983" s="24">
        <f t="shared" ref="F983:G983" si="1236">SUM(F982)</f>
        <v>14</v>
      </c>
      <c r="G983" s="24">
        <f t="shared" si="1236"/>
        <v>18</v>
      </c>
      <c r="H983" s="24">
        <f t="shared" ref="H983:I983" si="1237">SUM(H982)</f>
        <v>20</v>
      </c>
      <c r="I983" s="24">
        <f t="shared" si="1237"/>
        <v>19</v>
      </c>
      <c r="J983" s="24">
        <f t="shared" ref="J983:K983" si="1238">SUM(J982)</f>
        <v>14</v>
      </c>
      <c r="K983" s="24">
        <f t="shared" si="1238"/>
        <v>17</v>
      </c>
      <c r="L983" s="24">
        <f t="shared" ref="L983:M983" si="1239">SUM(L982)</f>
        <v>20</v>
      </c>
      <c r="M983" s="24">
        <f t="shared" si="1239"/>
        <v>16</v>
      </c>
      <c r="N983" s="144">
        <f>SUM(N982)</f>
        <v>192</v>
      </c>
      <c r="O983" s="25">
        <f>SUM(O982)</f>
        <v>16</v>
      </c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s="9" customFormat="1" ht="15.75">
      <c r="A984" s="62" t="s">
        <v>112</v>
      </c>
      <c r="B984" s="25">
        <f t="shared" ref="B984:G984" si="1240">IF(B983=0,"",B983/B$1870)</f>
        <v>0.4838709677419355</v>
      </c>
      <c r="C984" s="25">
        <f t="shared" si="1240"/>
        <v>0.7142857142857143</v>
      </c>
      <c r="D984" s="25">
        <f t="shared" si="1240"/>
        <v>0.35483870967741937</v>
      </c>
      <c r="E984" s="25">
        <f t="shared" si="1240"/>
        <v>0.26666666666666666</v>
      </c>
      <c r="F984" s="25">
        <f t="shared" si="1240"/>
        <v>0.45161290322580644</v>
      </c>
      <c r="G984" s="25">
        <f t="shared" si="1240"/>
        <v>0.6</v>
      </c>
      <c r="H984" s="25">
        <f t="shared" ref="H984:I984" si="1241">IF(H983=0,"",H983/H$1870)</f>
        <v>0.64516129032258063</v>
      </c>
      <c r="I984" s="25">
        <f t="shared" si="1241"/>
        <v>0.61290322580645162</v>
      </c>
      <c r="J984" s="25">
        <f t="shared" ref="J984:K984" si="1242">IF(J983=0,"",J983/J$1870)</f>
        <v>0.46666666666666667</v>
      </c>
      <c r="K984" s="25">
        <f t="shared" si="1242"/>
        <v>0.54838709677419351</v>
      </c>
      <c r="L984" s="25">
        <f t="shared" ref="L984:M984" si="1243">IF(L983=0,"",L983/L$1870)</f>
        <v>0.66666666666666663</v>
      </c>
      <c r="M984" s="25">
        <f t="shared" si="1243"/>
        <v>0.5161290322580645</v>
      </c>
      <c r="N984" s="144">
        <f>SUM(B984:M984)</f>
        <v>6.3271889400921673</v>
      </c>
      <c r="O984" s="25">
        <f>IF(N984=0,0,AVERAGE(B984:M984))</f>
        <v>0.52726574500768064</v>
      </c>
    </row>
    <row r="985" spans="1:26" s="9" customFormat="1">
      <c r="A985" s="86"/>
      <c r="B985" s="110"/>
      <c r="C985" s="110"/>
      <c r="D985" s="110"/>
      <c r="E985" s="110"/>
      <c r="F985" s="110"/>
      <c r="G985" s="110"/>
      <c r="H985" s="110"/>
      <c r="I985" s="110"/>
      <c r="J985" s="110"/>
      <c r="K985" s="110"/>
      <c r="L985" s="110"/>
      <c r="M985" s="110"/>
      <c r="N985" s="170"/>
      <c r="O985" s="111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s="9" customFormat="1" ht="15.75">
      <c r="A986" s="97" t="s">
        <v>153</v>
      </c>
      <c r="B986" s="92">
        <f t="shared" ref="B986:C986" si="1244">B978</f>
        <v>0</v>
      </c>
      <c r="C986" s="92">
        <f t="shared" si="1244"/>
        <v>0</v>
      </c>
      <c r="D986" s="92">
        <f t="shared" ref="D986:E986" si="1245">D978</f>
        <v>0</v>
      </c>
      <c r="E986" s="92">
        <f t="shared" si="1245"/>
        <v>0</v>
      </c>
      <c r="F986" s="92">
        <f t="shared" ref="F986:G986" si="1246">F978</f>
        <v>0</v>
      </c>
      <c r="G986" s="92">
        <f t="shared" si="1246"/>
        <v>0</v>
      </c>
      <c r="H986" s="92">
        <f t="shared" ref="H986:I986" si="1247">H978</f>
        <v>0</v>
      </c>
      <c r="I986" s="92">
        <f t="shared" si="1247"/>
        <v>0</v>
      </c>
      <c r="J986" s="92">
        <f t="shared" ref="J986:K986" si="1248">J978</f>
        <v>0</v>
      </c>
      <c r="K986" s="92">
        <f t="shared" si="1248"/>
        <v>0</v>
      </c>
      <c r="L986" s="92">
        <f t="shared" ref="L986:M986" si="1249">L978</f>
        <v>0</v>
      </c>
      <c r="M986" s="92">
        <f t="shared" si="1249"/>
        <v>0</v>
      </c>
      <c r="N986" s="150">
        <v>0</v>
      </c>
      <c r="O986" s="22">
        <f>O978</f>
        <v>0</v>
      </c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s="9" customFormat="1" ht="15.75">
      <c r="A987" s="97" t="s">
        <v>154</v>
      </c>
      <c r="B987" s="92">
        <f t="shared" ref="B987:C987" si="1250">B983</f>
        <v>15</v>
      </c>
      <c r="C987" s="92">
        <f t="shared" si="1250"/>
        <v>20</v>
      </c>
      <c r="D987" s="92">
        <f t="shared" ref="D987:E987" si="1251">D983</f>
        <v>11</v>
      </c>
      <c r="E987" s="92">
        <f t="shared" si="1251"/>
        <v>8</v>
      </c>
      <c r="F987" s="92">
        <f t="shared" ref="F987:G987" si="1252">F983</f>
        <v>14</v>
      </c>
      <c r="G987" s="92">
        <f t="shared" si="1252"/>
        <v>18</v>
      </c>
      <c r="H987" s="92">
        <f t="shared" ref="H987:I987" si="1253">H983</f>
        <v>20</v>
      </c>
      <c r="I987" s="92">
        <f t="shared" si="1253"/>
        <v>19</v>
      </c>
      <c r="J987" s="92">
        <f t="shared" ref="J987:K987" si="1254">J983</f>
        <v>14</v>
      </c>
      <c r="K987" s="92">
        <f t="shared" si="1254"/>
        <v>17</v>
      </c>
      <c r="L987" s="92">
        <f t="shared" ref="L987:M987" si="1255">L983</f>
        <v>20</v>
      </c>
      <c r="M987" s="92">
        <f t="shared" si="1255"/>
        <v>16</v>
      </c>
      <c r="N987" s="150">
        <f>SUM(B987:M987)</f>
        <v>192</v>
      </c>
      <c r="O987" s="22">
        <f>IF(N987=0,0,AVERAGE(B987:M987))</f>
        <v>16</v>
      </c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s="9" customFormat="1" ht="15.75">
      <c r="A988" s="381" t="s">
        <v>155</v>
      </c>
      <c r="B988" s="372">
        <f t="shared" ref="B988:C988" si="1256">SUM(B986:B987)</f>
        <v>15</v>
      </c>
      <c r="C988" s="372">
        <f t="shared" si="1256"/>
        <v>20</v>
      </c>
      <c r="D988" s="372">
        <f t="shared" ref="D988:E988" si="1257">SUM(D986:D987)</f>
        <v>11</v>
      </c>
      <c r="E988" s="372">
        <f t="shared" si="1257"/>
        <v>8</v>
      </c>
      <c r="F988" s="372">
        <f t="shared" ref="F988:G988" si="1258">SUM(F986:F987)</f>
        <v>14</v>
      </c>
      <c r="G988" s="372">
        <f t="shared" si="1258"/>
        <v>18</v>
      </c>
      <c r="H988" s="372">
        <f t="shared" ref="H988:I988" si="1259">SUM(H986:H987)</f>
        <v>20</v>
      </c>
      <c r="I988" s="372">
        <f t="shared" si="1259"/>
        <v>19</v>
      </c>
      <c r="J988" s="372">
        <f t="shared" ref="J988:K988" si="1260">SUM(J986:J987)</f>
        <v>14</v>
      </c>
      <c r="K988" s="372">
        <f t="shared" si="1260"/>
        <v>17</v>
      </c>
      <c r="L988" s="372">
        <f t="shared" ref="L988:M988" si="1261">SUM(L986:L987)</f>
        <v>20</v>
      </c>
      <c r="M988" s="372">
        <f t="shared" si="1261"/>
        <v>16</v>
      </c>
      <c r="N988" s="373">
        <f>SUM(N986:N987)</f>
        <v>192</v>
      </c>
      <c r="O988" s="374">
        <f>SUM(O986:O987)</f>
        <v>16</v>
      </c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s="9" customFormat="1" ht="15.75">
      <c r="A989" s="88"/>
      <c r="B989" s="89"/>
      <c r="C989" s="89"/>
      <c r="D989" s="89"/>
      <c r="E989" s="89"/>
      <c r="F989" s="89"/>
      <c r="G989" s="89"/>
      <c r="H989" s="89"/>
      <c r="I989" s="89"/>
      <c r="J989" s="89"/>
      <c r="K989" s="89"/>
      <c r="L989" s="89"/>
      <c r="M989" s="89"/>
      <c r="N989" s="167"/>
      <c r="O989" s="90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s="9" customFormat="1" ht="15.75">
      <c r="A990" s="404" t="s">
        <v>610</v>
      </c>
      <c r="B990" s="392"/>
      <c r="C990" s="392"/>
      <c r="D990" s="392"/>
      <c r="E990" s="392"/>
      <c r="F990" s="392"/>
      <c r="G990" s="392"/>
      <c r="H990" s="392"/>
      <c r="I990" s="392"/>
      <c r="J990" s="392"/>
      <c r="K990" s="392"/>
      <c r="L990" s="392"/>
      <c r="M990" s="392"/>
      <c r="N990" s="393"/>
      <c r="O990" s="394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s="9" customFormat="1" ht="15.75">
      <c r="A991" s="405" t="s">
        <v>788</v>
      </c>
      <c r="B991" s="406"/>
      <c r="C991" s="406"/>
      <c r="D991" s="406"/>
      <c r="E991" s="406"/>
      <c r="F991" s="406"/>
      <c r="G991" s="406"/>
      <c r="H991" s="406"/>
      <c r="I991" s="406"/>
      <c r="J991" s="406"/>
      <c r="K991" s="406"/>
      <c r="L991" s="406"/>
      <c r="M991" s="406"/>
      <c r="N991" s="407"/>
      <c r="O991" s="40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s="9" customFormat="1" ht="15.75">
      <c r="A992" s="44" t="s">
        <v>696</v>
      </c>
      <c r="B992" s="38">
        <f t="shared" ref="B992:C998" si="1262">B1003+B1021</f>
        <v>10</v>
      </c>
      <c r="C992" s="38">
        <f t="shared" si="1262"/>
        <v>12</v>
      </c>
      <c r="D992" s="38">
        <f t="shared" ref="D992:E992" si="1263">D1003+D1021</f>
        <v>8</v>
      </c>
      <c r="E992" s="38">
        <f t="shared" si="1263"/>
        <v>10</v>
      </c>
      <c r="F992" s="38">
        <f t="shared" ref="F992:G992" si="1264">F1003+F1021</f>
        <v>10</v>
      </c>
      <c r="G992" s="38">
        <f t="shared" si="1264"/>
        <v>8</v>
      </c>
      <c r="H992" s="38">
        <f t="shared" ref="H992:I992" si="1265">H1003+H1021</f>
        <v>8</v>
      </c>
      <c r="I992" s="38">
        <f t="shared" si="1265"/>
        <v>12</v>
      </c>
      <c r="J992" s="38">
        <f t="shared" ref="J992" si="1266">J1003+J1021</f>
        <v>5</v>
      </c>
      <c r="K992" s="461">
        <v>0</v>
      </c>
      <c r="L992" s="461">
        <v>0</v>
      </c>
      <c r="M992" s="461">
        <v>0</v>
      </c>
      <c r="N992" s="155">
        <f>SUM(B992:M992)</f>
        <v>83</v>
      </c>
      <c r="O992" s="45">
        <f>IF(N992=0,0,AVERAGE(B992:M992))</f>
        <v>6.916666666666667</v>
      </c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s="9" customFormat="1" ht="15.75">
      <c r="A993" s="44" t="s">
        <v>701</v>
      </c>
      <c r="B993" s="38">
        <f t="shared" si="1262"/>
        <v>0</v>
      </c>
      <c r="C993" s="38">
        <f t="shared" si="1262"/>
        <v>0</v>
      </c>
      <c r="D993" s="38">
        <f t="shared" ref="D993:E993" si="1267">D1004+D1022</f>
        <v>1</v>
      </c>
      <c r="E993" s="38">
        <f t="shared" si="1267"/>
        <v>0</v>
      </c>
      <c r="F993" s="38">
        <f t="shared" ref="F993:G993" si="1268">F1004+F1022</f>
        <v>0</v>
      </c>
      <c r="G993" s="38">
        <f t="shared" si="1268"/>
        <v>1</v>
      </c>
      <c r="H993" s="38">
        <f t="shared" ref="H993:I993" si="1269">H1004+H1022</f>
        <v>0</v>
      </c>
      <c r="I993" s="38">
        <f t="shared" si="1269"/>
        <v>0</v>
      </c>
      <c r="J993" s="38">
        <f t="shared" ref="J993" si="1270">J1004+J1022</f>
        <v>0</v>
      </c>
      <c r="K993" s="461">
        <v>0</v>
      </c>
      <c r="L993" s="461">
        <v>0</v>
      </c>
      <c r="M993" s="461">
        <v>0</v>
      </c>
      <c r="N993" s="155">
        <f>SUM(B993:M993)</f>
        <v>2</v>
      </c>
      <c r="O993" s="45">
        <f>IF(N993=0,0,AVERAGE(B993:M993))</f>
        <v>0.16666666666666666</v>
      </c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s="9" customFormat="1" ht="15.75">
      <c r="A994" s="363" t="s">
        <v>699</v>
      </c>
      <c r="B994" s="38">
        <f t="shared" si="1262"/>
        <v>0</v>
      </c>
      <c r="C994" s="38">
        <f t="shared" si="1262"/>
        <v>0</v>
      </c>
      <c r="D994" s="38">
        <f t="shared" ref="D994:E994" si="1271">D1005+D1023</f>
        <v>0</v>
      </c>
      <c r="E994" s="38">
        <f t="shared" si="1271"/>
        <v>0</v>
      </c>
      <c r="F994" s="38">
        <f t="shared" ref="F994:G994" si="1272">F1005+F1023</f>
        <v>0</v>
      </c>
      <c r="G994" s="38">
        <f t="shared" si="1272"/>
        <v>0</v>
      </c>
      <c r="H994" s="38">
        <f t="shared" ref="H994:I994" si="1273">H1005+H1023</f>
        <v>2</v>
      </c>
      <c r="I994" s="38">
        <f t="shared" si="1273"/>
        <v>0</v>
      </c>
      <c r="J994" s="38">
        <f t="shared" ref="J994" si="1274">J1005+J1023</f>
        <v>0</v>
      </c>
      <c r="K994" s="38">
        <v>0</v>
      </c>
      <c r="L994" s="38">
        <v>0</v>
      </c>
      <c r="M994" s="38">
        <v>0</v>
      </c>
      <c r="N994" s="155">
        <f>SUM(B994:M994)</f>
        <v>2</v>
      </c>
      <c r="O994" s="45">
        <f>IF(N994=0,0,AVERAGE(B994:M994))</f>
        <v>0.16666666666666666</v>
      </c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s="9" customFormat="1" ht="15.75">
      <c r="A995" s="363" t="s">
        <v>698</v>
      </c>
      <c r="B995" s="38">
        <f t="shared" si="1262"/>
        <v>0</v>
      </c>
      <c r="C995" s="38">
        <f t="shared" si="1262"/>
        <v>0</v>
      </c>
      <c r="D995" s="38">
        <f t="shared" ref="D995:E995" si="1275">D1006+D1024</f>
        <v>0</v>
      </c>
      <c r="E995" s="38">
        <f t="shared" si="1275"/>
        <v>0</v>
      </c>
      <c r="F995" s="38">
        <f t="shared" ref="F995:G995" si="1276">F1006+F1024</f>
        <v>0</v>
      </c>
      <c r="G995" s="38">
        <f t="shared" si="1276"/>
        <v>0</v>
      </c>
      <c r="H995" s="38">
        <f t="shared" ref="H995:I995" si="1277">H1006+H1024</f>
        <v>1</v>
      </c>
      <c r="I995" s="38">
        <f t="shared" si="1277"/>
        <v>0</v>
      </c>
      <c r="J995" s="38">
        <f t="shared" ref="J995" si="1278">J1006+J1024</f>
        <v>0</v>
      </c>
      <c r="K995" s="38">
        <v>0</v>
      </c>
      <c r="L995" s="38">
        <v>0</v>
      </c>
      <c r="M995" s="38">
        <v>0</v>
      </c>
      <c r="N995" s="155">
        <f t="shared" ref="N995:N997" si="1279">SUM(B995:M995)</f>
        <v>1</v>
      </c>
      <c r="O995" s="45">
        <f t="shared" ref="O995:O997" si="1280">IF(N995=0,0,AVERAGE(B995:M995))</f>
        <v>8.3333333333333329E-2</v>
      </c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s="9" customFormat="1" ht="15.75">
      <c r="A996" s="363" t="s">
        <v>700</v>
      </c>
      <c r="B996" s="38">
        <f t="shared" si="1262"/>
        <v>1</v>
      </c>
      <c r="C996" s="38">
        <f t="shared" si="1262"/>
        <v>0</v>
      </c>
      <c r="D996" s="38">
        <f t="shared" ref="D996:E996" si="1281">D1007+D1025</f>
        <v>1</v>
      </c>
      <c r="E996" s="38">
        <f t="shared" si="1281"/>
        <v>1</v>
      </c>
      <c r="F996" s="38">
        <f t="shared" ref="F996:G996" si="1282">F1007+F1025</f>
        <v>1</v>
      </c>
      <c r="G996" s="38">
        <f t="shared" si="1282"/>
        <v>2</v>
      </c>
      <c r="H996" s="38">
        <f t="shared" ref="H996:I996" si="1283">H1007+H1025</f>
        <v>0</v>
      </c>
      <c r="I996" s="38">
        <f t="shared" si="1283"/>
        <v>0</v>
      </c>
      <c r="J996" s="38">
        <f t="shared" ref="J996" si="1284">J1007+J1025</f>
        <v>2</v>
      </c>
      <c r="K996" s="38">
        <v>0</v>
      </c>
      <c r="L996" s="38">
        <v>0</v>
      </c>
      <c r="M996" s="38">
        <v>0</v>
      </c>
      <c r="N996" s="155">
        <f t="shared" si="1279"/>
        <v>8</v>
      </c>
      <c r="O996" s="45">
        <f t="shared" si="1280"/>
        <v>0.66666666666666663</v>
      </c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s="9" customFormat="1" ht="15.75">
      <c r="A997" s="44" t="s">
        <v>697</v>
      </c>
      <c r="B997" s="38">
        <f t="shared" si="1262"/>
        <v>0</v>
      </c>
      <c r="C997" s="38">
        <f t="shared" si="1262"/>
        <v>0</v>
      </c>
      <c r="D997" s="38">
        <f t="shared" ref="D997:E997" si="1285">D1008+D1026</f>
        <v>2</v>
      </c>
      <c r="E997" s="38">
        <f t="shared" si="1285"/>
        <v>0</v>
      </c>
      <c r="F997" s="38">
        <f t="shared" ref="F997:G997" si="1286">F1008+F1026</f>
        <v>1</v>
      </c>
      <c r="G997" s="38">
        <f t="shared" si="1286"/>
        <v>1</v>
      </c>
      <c r="H997" s="38">
        <f t="shared" ref="H997:I997" si="1287">H1008+H1026</f>
        <v>0</v>
      </c>
      <c r="I997" s="38">
        <f t="shared" si="1287"/>
        <v>0</v>
      </c>
      <c r="J997" s="38">
        <f t="shared" ref="J997" si="1288">J1008+J1026</f>
        <v>0</v>
      </c>
      <c r="K997" s="38">
        <v>0</v>
      </c>
      <c r="L997" s="38">
        <v>0</v>
      </c>
      <c r="M997" s="38">
        <v>0</v>
      </c>
      <c r="N997" s="155">
        <f t="shared" si="1279"/>
        <v>4</v>
      </c>
      <c r="O997" s="45">
        <f t="shared" si="1280"/>
        <v>0.33333333333333331</v>
      </c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s="9" customFormat="1" ht="15.75">
      <c r="A998" s="44" t="s">
        <v>22</v>
      </c>
      <c r="B998" s="38">
        <f t="shared" si="1262"/>
        <v>1</v>
      </c>
      <c r="C998" s="38">
        <f t="shared" si="1262"/>
        <v>0</v>
      </c>
      <c r="D998" s="38">
        <f t="shared" ref="D998:E998" si="1289">D1009+D1027</f>
        <v>0</v>
      </c>
      <c r="E998" s="38">
        <f t="shared" si="1289"/>
        <v>1</v>
      </c>
      <c r="F998" s="38">
        <f t="shared" ref="F998:G998" si="1290">F1009+F1027</f>
        <v>0</v>
      </c>
      <c r="G998" s="38">
        <f t="shared" si="1290"/>
        <v>0</v>
      </c>
      <c r="H998" s="38">
        <f t="shared" ref="H998:I998" si="1291">H1009+H1027</f>
        <v>1</v>
      </c>
      <c r="I998" s="38">
        <f t="shared" si="1291"/>
        <v>0</v>
      </c>
      <c r="J998" s="38">
        <f t="shared" ref="J998" si="1292">J1009+J1027</f>
        <v>0</v>
      </c>
      <c r="K998" s="38">
        <v>0</v>
      </c>
      <c r="L998" s="38">
        <v>0</v>
      </c>
      <c r="M998" s="38">
        <v>0</v>
      </c>
      <c r="N998" s="155">
        <f t="shared" ref="N998" si="1293">SUM(B998:M998)</f>
        <v>3</v>
      </c>
      <c r="O998" s="45">
        <f t="shared" ref="O998" si="1294">IF(N998=0,0,AVERAGE(B998:M998))</f>
        <v>0.25</v>
      </c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 s="9" customFormat="1" ht="15.75">
      <c r="A999" s="123" t="s">
        <v>21</v>
      </c>
      <c r="B999" s="124">
        <f t="shared" ref="B999:G999" si="1295">SUM(B992:B998)</f>
        <v>12</v>
      </c>
      <c r="C999" s="124">
        <f t="shared" si="1295"/>
        <v>12</v>
      </c>
      <c r="D999" s="124">
        <f t="shared" si="1295"/>
        <v>12</v>
      </c>
      <c r="E999" s="124">
        <f t="shared" si="1295"/>
        <v>12</v>
      </c>
      <c r="F999" s="124">
        <f t="shared" si="1295"/>
        <v>12</v>
      </c>
      <c r="G999" s="124">
        <f t="shared" si="1295"/>
        <v>12</v>
      </c>
      <c r="H999" s="124">
        <f t="shared" ref="H999:I999" si="1296">SUM(H992:H998)</f>
        <v>12</v>
      </c>
      <c r="I999" s="124">
        <f t="shared" si="1296"/>
        <v>12</v>
      </c>
      <c r="J999" s="124">
        <f t="shared" ref="J999:K999" si="1297">SUM(J992:J998)</f>
        <v>7</v>
      </c>
      <c r="K999" s="124">
        <f t="shared" si="1297"/>
        <v>0</v>
      </c>
      <c r="L999" s="124">
        <f t="shared" ref="L999:M999" si="1298">SUM(L992:L998)</f>
        <v>0</v>
      </c>
      <c r="M999" s="124">
        <f t="shared" si="1298"/>
        <v>0</v>
      </c>
      <c r="N999" s="175">
        <f>SUM(N992:N997)</f>
        <v>100</v>
      </c>
      <c r="O999" s="125">
        <f>SUM(O992:O997)</f>
        <v>8.3333333333333339</v>
      </c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 s="9" customFormat="1" ht="15.75">
      <c r="A1000" s="62" t="s">
        <v>112</v>
      </c>
      <c r="B1000" s="25">
        <f t="shared" ref="B1000:G1000" si="1299">IF(B999=0,"",B999/B$1870)</f>
        <v>0.38709677419354838</v>
      </c>
      <c r="C1000" s="25">
        <f t="shared" si="1299"/>
        <v>0.42857142857142855</v>
      </c>
      <c r="D1000" s="25">
        <f t="shared" si="1299"/>
        <v>0.38709677419354838</v>
      </c>
      <c r="E1000" s="25">
        <f t="shared" si="1299"/>
        <v>0.4</v>
      </c>
      <c r="F1000" s="25">
        <f t="shared" si="1299"/>
        <v>0.38709677419354838</v>
      </c>
      <c r="G1000" s="25">
        <f t="shared" si="1299"/>
        <v>0.4</v>
      </c>
      <c r="H1000" s="25">
        <f t="shared" ref="H1000:I1000" si="1300">IF(H999=0,"",H999/H$1870)</f>
        <v>0.38709677419354838</v>
      </c>
      <c r="I1000" s="25">
        <f t="shared" si="1300"/>
        <v>0.38709677419354838</v>
      </c>
      <c r="J1000" s="25">
        <f t="shared" ref="J1000" si="1301">IF(J999=0,"",J999/J$1870)</f>
        <v>0.23333333333333334</v>
      </c>
      <c r="K1000" s="25" t="s">
        <v>44</v>
      </c>
      <c r="L1000" s="25" t="s">
        <v>44</v>
      </c>
      <c r="M1000" s="25" t="s">
        <v>44</v>
      </c>
      <c r="N1000" s="144">
        <f>SUM(B1000:M1000)</f>
        <v>3.397388632872504</v>
      </c>
      <c r="O1000" s="25">
        <f>IF(N1000=0,0,AVERAGE(B1000:M1000))</f>
        <v>0.37748762587472268</v>
      </c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  <row r="1001" spans="1:26" s="9" customFormat="1" ht="15.75">
      <c r="A1001" s="362"/>
      <c r="B1001" s="42"/>
      <c r="C1001" s="42"/>
      <c r="D1001" s="42"/>
      <c r="E1001" s="42"/>
      <c r="F1001" s="42"/>
      <c r="G1001" s="42"/>
      <c r="H1001" s="42"/>
      <c r="I1001" s="42"/>
      <c r="J1001" s="42"/>
      <c r="K1001" s="42"/>
      <c r="L1001" s="42"/>
      <c r="M1001" s="42"/>
      <c r="N1001" s="166"/>
      <c r="O1001" s="85"/>
      <c r="P1001" s="8"/>
      <c r="Q1001" s="8"/>
      <c r="R1001" s="8"/>
      <c r="S1001" s="8"/>
      <c r="T1001" s="8"/>
      <c r="U1001" s="8"/>
      <c r="V1001" s="8"/>
      <c r="W1001" s="8"/>
      <c r="X1001" s="8"/>
      <c r="Y1001" s="8"/>
      <c r="Z1001" s="8"/>
    </row>
    <row r="1002" spans="1:26" s="9" customFormat="1" ht="15.75">
      <c r="A1002" s="206" t="s">
        <v>789</v>
      </c>
      <c r="B1002" s="357"/>
      <c r="C1002" s="357"/>
      <c r="D1002" s="357"/>
      <c r="E1002" s="357"/>
      <c r="F1002" s="357"/>
      <c r="G1002" s="357"/>
      <c r="H1002" s="357"/>
      <c r="I1002" s="357"/>
      <c r="J1002" s="357"/>
      <c r="K1002" s="357"/>
      <c r="L1002" s="357"/>
      <c r="M1002" s="357"/>
      <c r="N1002" s="358"/>
      <c r="O1002" s="359"/>
      <c r="P1002" s="8"/>
      <c r="Q1002" s="8"/>
      <c r="R1002" s="8"/>
      <c r="S1002" s="8"/>
      <c r="T1002" s="8"/>
      <c r="U1002" s="8"/>
      <c r="V1002" s="8"/>
      <c r="W1002" s="8"/>
      <c r="X1002" s="8"/>
      <c r="Y1002" s="8"/>
      <c r="Z1002" s="8"/>
    </row>
    <row r="1003" spans="1:26" s="9" customFormat="1" ht="15.75">
      <c r="A1003" s="44" t="s">
        <v>696</v>
      </c>
      <c r="B1003" s="38">
        <v>0</v>
      </c>
      <c r="C1003" s="38">
        <v>0</v>
      </c>
      <c r="D1003" s="38">
        <v>0</v>
      </c>
      <c r="E1003" s="38">
        <v>0</v>
      </c>
      <c r="F1003" s="38">
        <v>0</v>
      </c>
      <c r="G1003" s="38">
        <v>0</v>
      </c>
      <c r="H1003" s="38">
        <v>0</v>
      </c>
      <c r="I1003" s="38">
        <v>0</v>
      </c>
      <c r="J1003" s="38">
        <v>0</v>
      </c>
      <c r="K1003" s="38">
        <v>0</v>
      </c>
      <c r="L1003" s="38">
        <v>0</v>
      </c>
      <c r="M1003" s="38">
        <v>0</v>
      </c>
      <c r="N1003" s="155">
        <f>SUM(B1003:M1003)</f>
        <v>0</v>
      </c>
      <c r="O1003" s="45">
        <f>IF(N1003=0,0,AVERAGE(B1003:M1003))</f>
        <v>0</v>
      </c>
      <c r="P1003" s="8"/>
      <c r="Q1003" s="8"/>
      <c r="R1003" s="8"/>
      <c r="S1003" s="8"/>
      <c r="T1003" s="8"/>
      <c r="U1003" s="8"/>
      <c r="V1003" s="8"/>
      <c r="W1003" s="8"/>
      <c r="X1003" s="8"/>
      <c r="Y1003" s="8"/>
      <c r="Z1003" s="8"/>
    </row>
    <row r="1004" spans="1:26" s="9" customFormat="1" ht="15.75">
      <c r="A1004" s="44" t="s">
        <v>701</v>
      </c>
      <c r="B1004" s="38">
        <v>0</v>
      </c>
      <c r="C1004" s="38">
        <v>0</v>
      </c>
      <c r="D1004" s="38">
        <v>0</v>
      </c>
      <c r="E1004" s="38">
        <v>0</v>
      </c>
      <c r="F1004" s="38">
        <v>0</v>
      </c>
      <c r="G1004" s="38">
        <v>0</v>
      </c>
      <c r="H1004" s="38">
        <v>0</v>
      </c>
      <c r="I1004" s="38">
        <v>0</v>
      </c>
      <c r="J1004" s="38">
        <v>0</v>
      </c>
      <c r="K1004" s="38">
        <v>0</v>
      </c>
      <c r="L1004" s="38">
        <v>0</v>
      </c>
      <c r="M1004" s="38">
        <v>0</v>
      </c>
      <c r="N1004" s="155">
        <f>SUM(B1004:M1004)</f>
        <v>0</v>
      </c>
      <c r="O1004" s="45">
        <f>IF(N1004=0,0,AVERAGE(B1004:M1004))</f>
        <v>0</v>
      </c>
      <c r="P1004" s="8"/>
      <c r="Q1004" s="8"/>
      <c r="R1004" s="8"/>
      <c r="S1004" s="8"/>
      <c r="T1004" s="8"/>
      <c r="U1004" s="8"/>
      <c r="V1004" s="8"/>
      <c r="W1004" s="8"/>
      <c r="X1004" s="8"/>
      <c r="Y1004" s="8"/>
      <c r="Z1004" s="8"/>
    </row>
    <row r="1005" spans="1:26" s="9" customFormat="1" ht="15.75">
      <c r="A1005" s="363" t="s">
        <v>699</v>
      </c>
      <c r="B1005" s="38">
        <v>0</v>
      </c>
      <c r="C1005" s="38">
        <v>0</v>
      </c>
      <c r="D1005" s="38">
        <v>0</v>
      </c>
      <c r="E1005" s="38">
        <v>0</v>
      </c>
      <c r="F1005" s="38">
        <v>0</v>
      </c>
      <c r="G1005" s="38">
        <v>0</v>
      </c>
      <c r="H1005" s="38">
        <v>0</v>
      </c>
      <c r="I1005" s="38">
        <v>0</v>
      </c>
      <c r="J1005" s="38">
        <v>0</v>
      </c>
      <c r="K1005" s="38">
        <v>0</v>
      </c>
      <c r="L1005" s="38">
        <v>0</v>
      </c>
      <c r="M1005" s="38">
        <v>0</v>
      </c>
      <c r="N1005" s="155">
        <f>SUM(B1005:M1005)</f>
        <v>0</v>
      </c>
      <c r="O1005" s="45">
        <f>IF(N1005=0,0,AVERAGE(B1005:M1005))</f>
        <v>0</v>
      </c>
      <c r="P1005" s="8"/>
      <c r="Q1005" s="8"/>
      <c r="R1005" s="8"/>
      <c r="S1005" s="8"/>
      <c r="T1005" s="8"/>
      <c r="U1005" s="8"/>
      <c r="V1005" s="8"/>
      <c r="W1005" s="8"/>
      <c r="X1005" s="8"/>
      <c r="Y1005" s="8"/>
      <c r="Z1005" s="8"/>
    </row>
    <row r="1006" spans="1:26" s="9" customFormat="1" ht="15.75">
      <c r="A1006" s="363" t="s">
        <v>698</v>
      </c>
      <c r="B1006" s="38">
        <v>0</v>
      </c>
      <c r="C1006" s="38">
        <v>0</v>
      </c>
      <c r="D1006" s="38">
        <v>0</v>
      </c>
      <c r="E1006" s="38">
        <v>0</v>
      </c>
      <c r="F1006" s="38">
        <v>0</v>
      </c>
      <c r="G1006" s="38">
        <v>0</v>
      </c>
      <c r="H1006" s="38">
        <v>0</v>
      </c>
      <c r="I1006" s="38">
        <v>0</v>
      </c>
      <c r="J1006" s="38">
        <v>0</v>
      </c>
      <c r="K1006" s="38">
        <v>0</v>
      </c>
      <c r="L1006" s="38">
        <v>0</v>
      </c>
      <c r="M1006" s="38">
        <v>0</v>
      </c>
      <c r="N1006" s="155">
        <f t="shared" ref="N1006:N1008" si="1302">SUM(B1006:M1006)</f>
        <v>0</v>
      </c>
      <c r="O1006" s="45">
        <f t="shared" ref="O1006:O1008" si="1303">IF(N1006=0,0,AVERAGE(B1006:M1006))</f>
        <v>0</v>
      </c>
      <c r="P1006" s="8"/>
      <c r="Q1006" s="8"/>
      <c r="R1006" s="8"/>
      <c r="S1006" s="8"/>
      <c r="T1006" s="8"/>
      <c r="U1006" s="8"/>
      <c r="V1006" s="8"/>
      <c r="W1006" s="8"/>
      <c r="X1006" s="8"/>
      <c r="Y1006" s="8"/>
      <c r="Z1006" s="8"/>
    </row>
    <row r="1007" spans="1:26" s="9" customFormat="1" ht="15.75">
      <c r="A1007" s="363" t="s">
        <v>700</v>
      </c>
      <c r="B1007" s="38">
        <v>0</v>
      </c>
      <c r="C1007" s="38">
        <v>0</v>
      </c>
      <c r="D1007" s="38">
        <v>0</v>
      </c>
      <c r="E1007" s="38">
        <v>0</v>
      </c>
      <c r="F1007" s="38">
        <v>0</v>
      </c>
      <c r="G1007" s="38">
        <v>0</v>
      </c>
      <c r="H1007" s="38">
        <v>0</v>
      </c>
      <c r="I1007" s="38">
        <v>0</v>
      </c>
      <c r="J1007" s="38">
        <v>0</v>
      </c>
      <c r="K1007" s="38">
        <v>0</v>
      </c>
      <c r="L1007" s="38">
        <v>0</v>
      </c>
      <c r="M1007" s="38">
        <v>0</v>
      </c>
      <c r="N1007" s="155">
        <f t="shared" si="1302"/>
        <v>0</v>
      </c>
      <c r="O1007" s="45">
        <f t="shared" si="1303"/>
        <v>0</v>
      </c>
      <c r="P1007" s="8"/>
      <c r="Q1007" s="8"/>
      <c r="R1007" s="8"/>
      <c r="S1007" s="8"/>
      <c r="T1007" s="8"/>
      <c r="U1007" s="8"/>
      <c r="V1007" s="8"/>
      <c r="W1007" s="8"/>
      <c r="X1007" s="8"/>
      <c r="Y1007" s="8"/>
      <c r="Z1007" s="8"/>
    </row>
    <row r="1008" spans="1:26" s="9" customFormat="1" ht="15.75">
      <c r="A1008" s="44" t="s">
        <v>697</v>
      </c>
      <c r="B1008" s="38">
        <v>0</v>
      </c>
      <c r="C1008" s="38">
        <v>0</v>
      </c>
      <c r="D1008" s="38">
        <v>0</v>
      </c>
      <c r="E1008" s="38">
        <v>0</v>
      </c>
      <c r="F1008" s="38">
        <v>0</v>
      </c>
      <c r="G1008" s="38">
        <v>0</v>
      </c>
      <c r="H1008" s="38">
        <v>0</v>
      </c>
      <c r="I1008" s="38">
        <v>0</v>
      </c>
      <c r="J1008" s="38">
        <v>0</v>
      </c>
      <c r="K1008" s="38">
        <v>0</v>
      </c>
      <c r="L1008" s="38">
        <v>0</v>
      </c>
      <c r="M1008" s="38">
        <v>0</v>
      </c>
      <c r="N1008" s="155">
        <f t="shared" si="1302"/>
        <v>0</v>
      </c>
      <c r="O1008" s="45">
        <f t="shared" si="1303"/>
        <v>0</v>
      </c>
      <c r="P1008" s="8"/>
      <c r="Q1008" s="8"/>
      <c r="R1008" s="8"/>
      <c r="S1008" s="8"/>
      <c r="T1008" s="8"/>
      <c r="U1008" s="8"/>
      <c r="V1008" s="8"/>
      <c r="W1008" s="8"/>
      <c r="X1008" s="8"/>
      <c r="Y1008" s="8"/>
      <c r="Z1008" s="8"/>
    </row>
    <row r="1009" spans="1:26" s="9" customFormat="1" ht="15.75">
      <c r="A1009" s="44" t="s">
        <v>22</v>
      </c>
      <c r="B1009" s="38">
        <v>0</v>
      </c>
      <c r="C1009" s="38">
        <v>0</v>
      </c>
      <c r="D1009" s="38">
        <v>0</v>
      </c>
      <c r="E1009" s="38">
        <v>0</v>
      </c>
      <c r="F1009" s="38">
        <v>0</v>
      </c>
      <c r="G1009" s="38">
        <v>0</v>
      </c>
      <c r="H1009" s="38">
        <v>0</v>
      </c>
      <c r="I1009" s="38">
        <v>0</v>
      </c>
      <c r="J1009" s="38">
        <v>0</v>
      </c>
      <c r="K1009" s="38">
        <v>0</v>
      </c>
      <c r="L1009" s="38">
        <v>0</v>
      </c>
      <c r="M1009" s="38">
        <v>0</v>
      </c>
      <c r="N1009" s="155">
        <f t="shared" ref="N1009" si="1304">SUM(B1009:M1009)</f>
        <v>0</v>
      </c>
      <c r="O1009" s="45">
        <f t="shared" ref="O1009" si="1305">IF(N1009=0,0,AVERAGE(B1009:M1009))</f>
        <v>0</v>
      </c>
      <c r="P1009" s="8"/>
      <c r="Q1009" s="8"/>
      <c r="R1009" s="8"/>
      <c r="S1009" s="8"/>
      <c r="T1009" s="8"/>
      <c r="U1009" s="8"/>
      <c r="V1009" s="8"/>
      <c r="W1009" s="8"/>
      <c r="X1009" s="8"/>
      <c r="Y1009" s="8"/>
      <c r="Z1009" s="8"/>
    </row>
    <row r="1010" spans="1:26" s="9" customFormat="1" ht="15.75">
      <c r="A1010" s="123" t="s">
        <v>21</v>
      </c>
      <c r="B1010" s="124">
        <f t="shared" ref="B1010:G1010" si="1306">SUM(B1003:B1009)</f>
        <v>0</v>
      </c>
      <c r="C1010" s="124">
        <f t="shared" si="1306"/>
        <v>0</v>
      </c>
      <c r="D1010" s="124">
        <f t="shared" si="1306"/>
        <v>0</v>
      </c>
      <c r="E1010" s="124">
        <f t="shared" si="1306"/>
        <v>0</v>
      </c>
      <c r="F1010" s="124">
        <f t="shared" si="1306"/>
        <v>0</v>
      </c>
      <c r="G1010" s="124">
        <f t="shared" si="1306"/>
        <v>0</v>
      </c>
      <c r="H1010" s="124">
        <f t="shared" ref="H1010:I1010" si="1307">SUM(H1003:H1009)</f>
        <v>0</v>
      </c>
      <c r="I1010" s="124">
        <f t="shared" si="1307"/>
        <v>0</v>
      </c>
      <c r="J1010" s="124">
        <f t="shared" ref="J1010:K1010" si="1308">SUM(J1003:J1009)</f>
        <v>0</v>
      </c>
      <c r="K1010" s="124">
        <f t="shared" si="1308"/>
        <v>0</v>
      </c>
      <c r="L1010" s="124">
        <f t="shared" ref="L1010:M1010" si="1309">SUM(L1003:L1009)</f>
        <v>0</v>
      </c>
      <c r="M1010" s="124">
        <f t="shared" si="1309"/>
        <v>0</v>
      </c>
      <c r="N1010" s="175">
        <f>SUM(N1003:N1008)</f>
        <v>0</v>
      </c>
      <c r="O1010" s="125">
        <f>SUM(O1003:O1008)</f>
        <v>0</v>
      </c>
      <c r="P1010" s="8"/>
      <c r="Q1010" s="8"/>
      <c r="R1010" s="8"/>
      <c r="S1010" s="8"/>
      <c r="T1010" s="8"/>
      <c r="U1010" s="8"/>
      <c r="V1010" s="8"/>
      <c r="W1010" s="8"/>
      <c r="X1010" s="8"/>
      <c r="Y1010" s="8"/>
      <c r="Z1010" s="8"/>
    </row>
    <row r="1011" spans="1:26" s="9" customFormat="1" ht="15.75">
      <c r="A1011" s="62" t="s">
        <v>112</v>
      </c>
      <c r="B1011" s="25" t="s">
        <v>44</v>
      </c>
      <c r="C1011" s="25" t="s">
        <v>44</v>
      </c>
      <c r="D1011" s="25" t="s">
        <v>44</v>
      </c>
      <c r="E1011" s="25" t="s">
        <v>44</v>
      </c>
      <c r="F1011" s="25" t="s">
        <v>44</v>
      </c>
      <c r="G1011" s="25" t="s">
        <v>44</v>
      </c>
      <c r="H1011" s="25" t="s">
        <v>44</v>
      </c>
      <c r="I1011" s="25" t="s">
        <v>44</v>
      </c>
      <c r="J1011" s="25" t="s">
        <v>44</v>
      </c>
      <c r="K1011" s="25" t="s">
        <v>44</v>
      </c>
      <c r="L1011" s="25" t="s">
        <v>44</v>
      </c>
      <c r="M1011" s="25" t="s">
        <v>44</v>
      </c>
      <c r="N1011" s="144">
        <f>SUM(B1011:M1011)</f>
        <v>0</v>
      </c>
      <c r="O1011" s="25">
        <f>IF(N1011=0,0,AVERAGE(B1011:M1011))</f>
        <v>0</v>
      </c>
      <c r="P1011" s="8"/>
      <c r="Q1011" s="8"/>
      <c r="R1011" s="8"/>
      <c r="S1011" s="8"/>
      <c r="T1011" s="8"/>
      <c r="U1011" s="8"/>
      <c r="V1011" s="8"/>
      <c r="W1011" s="8"/>
      <c r="X1011" s="8"/>
      <c r="Y1011" s="8"/>
      <c r="Z1011" s="8"/>
    </row>
    <row r="1012" spans="1:26" s="9" customFormat="1" ht="15.75">
      <c r="A1012" s="362"/>
      <c r="B1012" s="42"/>
      <c r="C1012" s="42"/>
      <c r="D1012" s="42"/>
      <c r="E1012" s="42"/>
      <c r="F1012" s="42"/>
      <c r="G1012" s="42"/>
      <c r="H1012" s="42"/>
      <c r="I1012" s="42"/>
      <c r="J1012" s="42"/>
      <c r="K1012" s="42"/>
      <c r="L1012" s="42"/>
      <c r="M1012" s="42"/>
      <c r="N1012" s="166"/>
      <c r="O1012" s="85"/>
      <c r="P1012" s="8"/>
      <c r="Q1012" s="8"/>
      <c r="R1012" s="8"/>
      <c r="S1012" s="8"/>
      <c r="T1012" s="8"/>
      <c r="U1012" s="8"/>
      <c r="V1012" s="8"/>
      <c r="W1012" s="8"/>
      <c r="X1012" s="8"/>
      <c r="Y1012" s="8"/>
      <c r="Z1012" s="8"/>
    </row>
    <row r="1013" spans="1:26" s="9" customFormat="1" ht="15.75">
      <c r="A1013" s="206" t="s">
        <v>893</v>
      </c>
      <c r="B1013" s="357"/>
      <c r="C1013" s="357"/>
      <c r="D1013" s="357"/>
      <c r="E1013" s="357"/>
      <c r="F1013" s="357"/>
      <c r="G1013" s="357"/>
      <c r="H1013" s="357"/>
      <c r="I1013" s="357"/>
      <c r="J1013" s="357"/>
      <c r="K1013" s="357"/>
      <c r="L1013" s="357"/>
      <c r="M1013" s="357"/>
      <c r="N1013" s="358"/>
      <c r="O1013" s="359"/>
      <c r="P1013" s="8"/>
      <c r="Q1013" s="8"/>
      <c r="R1013" s="8"/>
      <c r="S1013" s="8"/>
      <c r="T1013" s="8"/>
      <c r="U1013" s="8"/>
      <c r="V1013" s="8"/>
      <c r="W1013" s="8"/>
      <c r="X1013" s="8"/>
      <c r="Y1013" s="8"/>
      <c r="Z1013" s="8"/>
    </row>
    <row r="1014" spans="1:26" s="9" customFormat="1" ht="15.75">
      <c r="A1014" s="40" t="s">
        <v>18</v>
      </c>
      <c r="B1014" s="21">
        <v>0</v>
      </c>
      <c r="C1014" s="21">
        <v>0</v>
      </c>
      <c r="D1014" s="21">
        <v>0</v>
      </c>
      <c r="E1014" s="21">
        <v>0</v>
      </c>
      <c r="F1014" s="21">
        <v>0</v>
      </c>
      <c r="G1014" s="21">
        <v>0</v>
      </c>
      <c r="H1014" s="21">
        <v>0</v>
      </c>
      <c r="I1014" s="21">
        <v>0</v>
      </c>
      <c r="J1014" s="21">
        <v>0</v>
      </c>
      <c r="K1014" s="21">
        <v>0</v>
      </c>
      <c r="L1014" s="21">
        <v>0</v>
      </c>
      <c r="M1014" s="21">
        <v>0</v>
      </c>
      <c r="N1014" s="150">
        <f>SUM(B1014:M1014)</f>
        <v>0</v>
      </c>
      <c r="O1014" s="22">
        <f>IF(N1014=0,0,AVERAGE(B1014:M1014))</f>
        <v>0</v>
      </c>
      <c r="P1014" s="8"/>
      <c r="Q1014" s="8"/>
      <c r="R1014" s="8"/>
      <c r="S1014" s="8"/>
      <c r="T1014" s="8"/>
      <c r="U1014" s="8"/>
      <c r="V1014" s="8"/>
      <c r="W1014" s="8"/>
      <c r="X1014" s="8"/>
      <c r="Y1014" s="8"/>
      <c r="Z1014" s="8"/>
    </row>
    <row r="1015" spans="1:26" s="9" customFormat="1" ht="15.75">
      <c r="A1015" s="40" t="s">
        <v>19</v>
      </c>
      <c r="B1015" s="21">
        <v>0</v>
      </c>
      <c r="C1015" s="21">
        <v>0</v>
      </c>
      <c r="D1015" s="21">
        <v>0</v>
      </c>
      <c r="E1015" s="21">
        <v>0</v>
      </c>
      <c r="F1015" s="21">
        <v>0</v>
      </c>
      <c r="G1015" s="21">
        <v>0</v>
      </c>
      <c r="H1015" s="21">
        <v>0</v>
      </c>
      <c r="I1015" s="21">
        <v>0</v>
      </c>
      <c r="J1015" s="21">
        <v>0</v>
      </c>
      <c r="K1015" s="21">
        <v>0</v>
      </c>
      <c r="L1015" s="21">
        <v>0</v>
      </c>
      <c r="M1015" s="21">
        <v>0</v>
      </c>
      <c r="N1015" s="150">
        <f>SUM(B1015:M1015)</f>
        <v>0</v>
      </c>
      <c r="O1015" s="22">
        <f>IF(N1015=0,0,AVERAGE(B1015:M1015))</f>
        <v>0</v>
      </c>
      <c r="P1015" s="8"/>
      <c r="Q1015" s="8"/>
      <c r="R1015" s="8"/>
      <c r="S1015" s="8"/>
      <c r="T1015" s="8"/>
      <c r="U1015" s="8"/>
      <c r="V1015" s="8"/>
      <c r="W1015" s="8"/>
      <c r="X1015" s="8"/>
      <c r="Y1015" s="8"/>
      <c r="Z1015" s="8"/>
    </row>
    <row r="1016" spans="1:26" s="9" customFormat="1" ht="15.75">
      <c r="A1016" s="40" t="s">
        <v>20</v>
      </c>
      <c r="B1016" s="21">
        <v>0</v>
      </c>
      <c r="C1016" s="21">
        <v>0</v>
      </c>
      <c r="D1016" s="21">
        <v>0</v>
      </c>
      <c r="E1016" s="21">
        <v>0</v>
      </c>
      <c r="F1016" s="21">
        <v>0</v>
      </c>
      <c r="G1016" s="21">
        <v>0</v>
      </c>
      <c r="H1016" s="21">
        <v>0</v>
      </c>
      <c r="I1016" s="21">
        <v>0</v>
      </c>
      <c r="J1016" s="21">
        <v>0</v>
      </c>
      <c r="K1016" s="21">
        <v>0</v>
      </c>
      <c r="L1016" s="21">
        <v>0</v>
      </c>
      <c r="M1016" s="21">
        <v>0</v>
      </c>
      <c r="N1016" s="150">
        <f>SUM(B1016:M1016)</f>
        <v>0</v>
      </c>
      <c r="O1016" s="22">
        <f>IF(N1016=0,0,AVERAGE(B1016:M1016))</f>
        <v>0</v>
      </c>
      <c r="P1016" s="8"/>
      <c r="Q1016" s="8"/>
      <c r="R1016" s="8"/>
      <c r="S1016" s="8"/>
      <c r="T1016" s="8"/>
      <c r="U1016" s="8"/>
      <c r="V1016" s="8"/>
      <c r="W1016" s="8"/>
      <c r="X1016" s="8"/>
      <c r="Y1016" s="8"/>
      <c r="Z1016" s="8"/>
    </row>
    <row r="1017" spans="1:26" s="9" customFormat="1" ht="15.75">
      <c r="A1017" s="62" t="s">
        <v>21</v>
      </c>
      <c r="B1017" s="24">
        <f t="shared" ref="B1017" si="1310">SUM(B1014:B1016)</f>
        <v>0</v>
      </c>
      <c r="C1017" s="24">
        <f t="shared" ref="C1017:D1017" si="1311">SUM(C1014:C1016)</f>
        <v>0</v>
      </c>
      <c r="D1017" s="24">
        <f t="shared" si="1311"/>
        <v>0</v>
      </c>
      <c r="E1017" s="24">
        <f t="shared" ref="E1017:F1017" si="1312">SUM(E1014:E1016)</f>
        <v>0</v>
      </c>
      <c r="F1017" s="24">
        <f t="shared" si="1312"/>
        <v>0</v>
      </c>
      <c r="G1017" s="24">
        <f t="shared" ref="G1017:H1017" si="1313">SUM(G1014:G1016)</f>
        <v>0</v>
      </c>
      <c r="H1017" s="24">
        <f t="shared" si="1313"/>
        <v>0</v>
      </c>
      <c r="I1017" s="24">
        <f t="shared" ref="I1017:J1017" si="1314">SUM(I1014:I1016)</f>
        <v>0</v>
      </c>
      <c r="J1017" s="24">
        <f t="shared" si="1314"/>
        <v>0</v>
      </c>
      <c r="K1017" s="24">
        <f t="shared" ref="K1017:L1017" si="1315">SUM(K1014:K1016)</f>
        <v>0</v>
      </c>
      <c r="L1017" s="24">
        <f t="shared" si="1315"/>
        <v>0</v>
      </c>
      <c r="M1017" s="24">
        <f t="shared" ref="M1017" si="1316">SUM(M1014:M1016)</f>
        <v>0</v>
      </c>
      <c r="N1017" s="144">
        <f>SUM(N1014:N1016)</f>
        <v>0</v>
      </c>
      <c r="O1017" s="25">
        <f>SUM(O1014:O1016)</f>
        <v>0</v>
      </c>
      <c r="P1017" s="8"/>
      <c r="Q1017" s="8"/>
      <c r="R1017" s="8"/>
      <c r="S1017" s="8"/>
      <c r="T1017" s="8"/>
      <c r="U1017" s="8"/>
      <c r="V1017" s="8"/>
      <c r="W1017" s="8"/>
      <c r="X1017" s="8"/>
      <c r="Y1017" s="8"/>
      <c r="Z1017" s="8"/>
    </row>
    <row r="1018" spans="1:26" s="9" customFormat="1" ht="15.75">
      <c r="A1018" s="62" t="s">
        <v>112</v>
      </c>
      <c r="B1018" s="25" t="s">
        <v>44</v>
      </c>
      <c r="C1018" s="25" t="s">
        <v>44</v>
      </c>
      <c r="D1018" s="25" t="s">
        <v>44</v>
      </c>
      <c r="E1018" s="25" t="s">
        <v>44</v>
      </c>
      <c r="F1018" s="25" t="s">
        <v>44</v>
      </c>
      <c r="G1018" s="25" t="s">
        <v>44</v>
      </c>
      <c r="H1018" s="25" t="s">
        <v>44</v>
      </c>
      <c r="I1018" s="25" t="s">
        <v>44</v>
      </c>
      <c r="J1018" s="25" t="s">
        <v>44</v>
      </c>
      <c r="K1018" s="25" t="s">
        <v>44</v>
      </c>
      <c r="L1018" s="25" t="s">
        <v>44</v>
      </c>
      <c r="M1018" s="25" t="s">
        <v>44</v>
      </c>
      <c r="N1018" s="144">
        <f>SUM(B1018:M1018)</f>
        <v>0</v>
      </c>
      <c r="O1018" s="25">
        <f>IF(N1018=0,0,AVERAGE(B1018:M1018))</f>
        <v>0</v>
      </c>
      <c r="P1018" s="8"/>
      <c r="Q1018" s="8"/>
      <c r="R1018" s="8"/>
      <c r="S1018" s="8"/>
      <c r="T1018" s="8"/>
      <c r="U1018" s="8"/>
      <c r="V1018" s="8"/>
      <c r="W1018" s="8"/>
      <c r="X1018" s="8"/>
      <c r="Y1018" s="8"/>
      <c r="Z1018" s="8"/>
    </row>
    <row r="1019" spans="1:26" s="9" customFormat="1" ht="15.75">
      <c r="A1019" s="362"/>
      <c r="B1019" s="42"/>
      <c r="C1019" s="42"/>
      <c r="D1019" s="42"/>
      <c r="E1019" s="42"/>
      <c r="F1019" s="42"/>
      <c r="G1019" s="42"/>
      <c r="H1019" s="42"/>
      <c r="I1019" s="42"/>
      <c r="J1019" s="42"/>
      <c r="K1019" s="42"/>
      <c r="L1019" s="42"/>
      <c r="M1019" s="42"/>
      <c r="N1019" s="166"/>
      <c r="O1019" s="85"/>
      <c r="P1019" s="8"/>
      <c r="Q1019" s="8"/>
      <c r="R1019" s="8"/>
      <c r="S1019" s="8"/>
      <c r="T1019" s="8"/>
      <c r="U1019" s="8"/>
      <c r="V1019" s="8"/>
      <c r="W1019" s="8"/>
      <c r="X1019" s="8"/>
      <c r="Y1019" s="8"/>
      <c r="Z1019" s="8"/>
    </row>
    <row r="1020" spans="1:26" s="9" customFormat="1" ht="15.75">
      <c r="A1020" s="206" t="s">
        <v>790</v>
      </c>
      <c r="B1020" s="357"/>
      <c r="C1020" s="357"/>
      <c r="D1020" s="357"/>
      <c r="E1020" s="357"/>
      <c r="F1020" s="357"/>
      <c r="G1020" s="357"/>
      <c r="H1020" s="357"/>
      <c r="I1020" s="357"/>
      <c r="J1020" s="357"/>
      <c r="K1020" s="357"/>
      <c r="L1020" s="357"/>
      <c r="M1020" s="357"/>
      <c r="N1020" s="358"/>
      <c r="O1020" s="359"/>
      <c r="P1020" s="8"/>
      <c r="Q1020" s="8"/>
      <c r="R1020" s="8"/>
      <c r="S1020" s="8"/>
      <c r="T1020" s="8"/>
      <c r="U1020" s="8"/>
      <c r="V1020" s="8"/>
      <c r="W1020" s="8"/>
      <c r="X1020" s="8"/>
      <c r="Y1020" s="8"/>
      <c r="Z1020" s="8"/>
    </row>
    <row r="1021" spans="1:26" s="9" customFormat="1" ht="15.75">
      <c r="A1021" s="44" t="s">
        <v>696</v>
      </c>
      <c r="B1021" s="38">
        <v>10</v>
      </c>
      <c r="C1021" s="38">
        <v>12</v>
      </c>
      <c r="D1021" s="38">
        <v>8</v>
      </c>
      <c r="E1021" s="38">
        <v>10</v>
      </c>
      <c r="F1021" s="38">
        <v>10</v>
      </c>
      <c r="G1021" s="38">
        <v>8</v>
      </c>
      <c r="H1021" s="38">
        <v>8</v>
      </c>
      <c r="I1021" s="38">
        <v>12</v>
      </c>
      <c r="J1021" s="38">
        <v>5</v>
      </c>
      <c r="K1021" s="38">
        <v>0</v>
      </c>
      <c r="L1021" s="38">
        <v>0</v>
      </c>
      <c r="M1021" s="38">
        <v>0</v>
      </c>
      <c r="N1021" s="155">
        <f>SUM(B1021:M1021)</f>
        <v>83</v>
      </c>
      <c r="O1021" s="45">
        <f>IF(N1021=0,0,AVERAGE(B1021:M1021))</f>
        <v>6.916666666666667</v>
      </c>
      <c r="P1021" s="8"/>
      <c r="Q1021" s="8"/>
      <c r="R1021" s="8"/>
      <c r="S1021" s="8"/>
      <c r="T1021" s="8"/>
      <c r="U1021" s="8"/>
      <c r="V1021" s="8"/>
      <c r="W1021" s="8"/>
      <c r="X1021" s="8"/>
      <c r="Y1021" s="8"/>
      <c r="Z1021" s="8"/>
    </row>
    <row r="1022" spans="1:26" s="9" customFormat="1" ht="15.75">
      <c r="A1022" s="44" t="s">
        <v>701</v>
      </c>
      <c r="B1022" s="38">
        <v>0</v>
      </c>
      <c r="C1022" s="38">
        <v>0</v>
      </c>
      <c r="D1022" s="38">
        <v>1</v>
      </c>
      <c r="E1022" s="38">
        <v>0</v>
      </c>
      <c r="F1022" s="38">
        <v>0</v>
      </c>
      <c r="G1022" s="38">
        <v>1</v>
      </c>
      <c r="H1022" s="38">
        <v>0</v>
      </c>
      <c r="I1022" s="38">
        <v>0</v>
      </c>
      <c r="J1022" s="38">
        <v>0</v>
      </c>
      <c r="K1022" s="38">
        <v>0</v>
      </c>
      <c r="L1022" s="38">
        <v>0</v>
      </c>
      <c r="M1022" s="38">
        <v>0</v>
      </c>
      <c r="N1022" s="155">
        <f>SUM(B1022:M1022)</f>
        <v>2</v>
      </c>
      <c r="O1022" s="45">
        <f>IF(N1022=0,0,AVERAGE(B1022:M1022))</f>
        <v>0.16666666666666666</v>
      </c>
      <c r="P1022" s="8"/>
      <c r="Q1022" s="8"/>
      <c r="R1022" s="8"/>
      <c r="S1022" s="8"/>
      <c r="T1022" s="8"/>
      <c r="U1022" s="8"/>
      <c r="V1022" s="8"/>
      <c r="W1022" s="8"/>
      <c r="X1022" s="8"/>
      <c r="Y1022" s="8"/>
      <c r="Z1022" s="8"/>
    </row>
    <row r="1023" spans="1:26" s="9" customFormat="1" ht="15.75">
      <c r="A1023" s="363" t="s">
        <v>699</v>
      </c>
      <c r="B1023" s="38">
        <v>0</v>
      </c>
      <c r="C1023" s="38">
        <v>0</v>
      </c>
      <c r="D1023" s="38">
        <v>0</v>
      </c>
      <c r="E1023" s="38">
        <v>0</v>
      </c>
      <c r="F1023" s="38">
        <v>0</v>
      </c>
      <c r="G1023" s="38">
        <v>0</v>
      </c>
      <c r="H1023" s="38">
        <v>2</v>
      </c>
      <c r="I1023" s="38">
        <v>0</v>
      </c>
      <c r="J1023" s="38">
        <v>0</v>
      </c>
      <c r="K1023" s="38">
        <v>0</v>
      </c>
      <c r="L1023" s="38">
        <v>0</v>
      </c>
      <c r="M1023" s="38">
        <v>0</v>
      </c>
      <c r="N1023" s="155">
        <f>SUM(B1023:M1023)</f>
        <v>2</v>
      </c>
      <c r="O1023" s="45">
        <f>IF(N1023=0,0,AVERAGE(B1023:M1023))</f>
        <v>0.16666666666666666</v>
      </c>
      <c r="P1023" s="8"/>
      <c r="Q1023" s="8"/>
      <c r="R1023" s="8"/>
      <c r="S1023" s="8"/>
      <c r="T1023" s="8"/>
      <c r="U1023" s="8"/>
      <c r="V1023" s="8"/>
      <c r="W1023" s="8"/>
      <c r="X1023" s="8"/>
      <c r="Y1023" s="8"/>
      <c r="Z1023" s="8"/>
    </row>
    <row r="1024" spans="1:26" s="9" customFormat="1" ht="15.75">
      <c r="A1024" s="363" t="s">
        <v>698</v>
      </c>
      <c r="B1024" s="38">
        <v>0</v>
      </c>
      <c r="C1024" s="38">
        <v>0</v>
      </c>
      <c r="D1024" s="38">
        <v>0</v>
      </c>
      <c r="E1024" s="38">
        <v>0</v>
      </c>
      <c r="F1024" s="38">
        <v>0</v>
      </c>
      <c r="G1024" s="38">
        <v>0</v>
      </c>
      <c r="H1024" s="38">
        <v>1</v>
      </c>
      <c r="I1024" s="38">
        <v>0</v>
      </c>
      <c r="J1024" s="38">
        <v>0</v>
      </c>
      <c r="K1024" s="38">
        <v>0</v>
      </c>
      <c r="L1024" s="38">
        <v>0</v>
      </c>
      <c r="M1024" s="38">
        <v>0</v>
      </c>
      <c r="N1024" s="155">
        <f t="shared" ref="N1024:N1026" si="1317">SUM(B1024:M1024)</f>
        <v>1</v>
      </c>
      <c r="O1024" s="45">
        <f t="shared" ref="O1024:O1026" si="1318">IF(N1024=0,0,AVERAGE(B1024:M1024))</f>
        <v>8.3333333333333329E-2</v>
      </c>
      <c r="P1024" s="8"/>
      <c r="Q1024" s="8"/>
      <c r="R1024" s="8"/>
      <c r="S1024" s="8"/>
      <c r="T1024" s="8"/>
      <c r="U1024" s="8"/>
      <c r="V1024" s="8"/>
      <c r="W1024" s="8"/>
      <c r="X1024" s="8"/>
      <c r="Y1024" s="8"/>
      <c r="Z1024" s="8"/>
    </row>
    <row r="1025" spans="1:26" s="9" customFormat="1" ht="15.75">
      <c r="A1025" s="363" t="s">
        <v>700</v>
      </c>
      <c r="B1025" s="38">
        <v>1</v>
      </c>
      <c r="C1025" s="38">
        <v>0</v>
      </c>
      <c r="D1025" s="38">
        <v>1</v>
      </c>
      <c r="E1025" s="38">
        <v>1</v>
      </c>
      <c r="F1025" s="38">
        <v>1</v>
      </c>
      <c r="G1025" s="38">
        <v>2</v>
      </c>
      <c r="H1025" s="38">
        <v>0</v>
      </c>
      <c r="I1025" s="38">
        <v>0</v>
      </c>
      <c r="J1025" s="38">
        <v>2</v>
      </c>
      <c r="K1025" s="38">
        <v>0</v>
      </c>
      <c r="L1025" s="38">
        <v>0</v>
      </c>
      <c r="M1025" s="38">
        <v>0</v>
      </c>
      <c r="N1025" s="155">
        <f t="shared" si="1317"/>
        <v>8</v>
      </c>
      <c r="O1025" s="45">
        <f t="shared" si="1318"/>
        <v>0.66666666666666663</v>
      </c>
      <c r="P1025" s="8"/>
      <c r="Q1025" s="8"/>
      <c r="R1025" s="8"/>
      <c r="S1025" s="8"/>
      <c r="T1025" s="8"/>
      <c r="U1025" s="8"/>
      <c r="V1025" s="8"/>
      <c r="W1025" s="8"/>
      <c r="X1025" s="8"/>
      <c r="Y1025" s="8"/>
      <c r="Z1025" s="8"/>
    </row>
    <row r="1026" spans="1:26" s="9" customFormat="1" ht="15.75">
      <c r="A1026" s="44" t="s">
        <v>697</v>
      </c>
      <c r="B1026" s="38">
        <v>0</v>
      </c>
      <c r="C1026" s="38">
        <v>0</v>
      </c>
      <c r="D1026" s="38">
        <v>2</v>
      </c>
      <c r="E1026" s="38">
        <v>0</v>
      </c>
      <c r="F1026" s="38">
        <v>1</v>
      </c>
      <c r="G1026" s="38">
        <v>1</v>
      </c>
      <c r="H1026" s="38">
        <v>0</v>
      </c>
      <c r="I1026" s="38">
        <v>0</v>
      </c>
      <c r="J1026" s="38">
        <v>0</v>
      </c>
      <c r="K1026" s="38">
        <v>0</v>
      </c>
      <c r="L1026" s="38">
        <v>0</v>
      </c>
      <c r="M1026" s="38">
        <v>0</v>
      </c>
      <c r="N1026" s="155">
        <f t="shared" si="1317"/>
        <v>4</v>
      </c>
      <c r="O1026" s="45">
        <f t="shared" si="1318"/>
        <v>0.33333333333333331</v>
      </c>
      <c r="P1026" s="8"/>
      <c r="Q1026" s="8"/>
      <c r="R1026" s="8"/>
      <c r="S1026" s="8"/>
      <c r="T1026" s="8"/>
      <c r="U1026" s="8"/>
      <c r="V1026" s="8"/>
      <c r="W1026" s="8"/>
      <c r="X1026" s="8"/>
      <c r="Y1026" s="8"/>
      <c r="Z1026" s="8"/>
    </row>
    <row r="1027" spans="1:26" s="9" customFormat="1" ht="15.75">
      <c r="A1027" s="44" t="s">
        <v>22</v>
      </c>
      <c r="B1027" s="38">
        <v>1</v>
      </c>
      <c r="C1027" s="38">
        <v>0</v>
      </c>
      <c r="D1027" s="38">
        <v>0</v>
      </c>
      <c r="E1027" s="38">
        <v>1</v>
      </c>
      <c r="F1027" s="38">
        <v>0</v>
      </c>
      <c r="G1027" s="38">
        <v>0</v>
      </c>
      <c r="H1027" s="38">
        <v>1</v>
      </c>
      <c r="I1027" s="38">
        <v>0</v>
      </c>
      <c r="J1027" s="38">
        <v>0</v>
      </c>
      <c r="K1027" s="38">
        <v>0</v>
      </c>
      <c r="L1027" s="38">
        <v>0</v>
      </c>
      <c r="M1027" s="38">
        <v>0</v>
      </c>
      <c r="N1027" s="155">
        <f t="shared" ref="N1027" si="1319">SUM(B1027:M1027)</f>
        <v>3</v>
      </c>
      <c r="O1027" s="45">
        <f t="shared" ref="O1027" si="1320">IF(N1027=0,0,AVERAGE(B1027:M1027))</f>
        <v>0.25</v>
      </c>
      <c r="P1027" s="8"/>
      <c r="Q1027" s="8"/>
      <c r="R1027" s="8"/>
      <c r="S1027" s="8"/>
      <c r="T1027" s="8"/>
      <c r="U1027" s="8"/>
      <c r="V1027" s="8"/>
      <c r="W1027" s="8"/>
      <c r="X1027" s="8"/>
      <c r="Y1027" s="8"/>
      <c r="Z1027" s="8"/>
    </row>
    <row r="1028" spans="1:26" s="9" customFormat="1" ht="15.75">
      <c r="A1028" s="123" t="s">
        <v>21</v>
      </c>
      <c r="B1028" s="124">
        <f t="shared" ref="B1028:G1028" si="1321">SUM(B1021:B1027)</f>
        <v>12</v>
      </c>
      <c r="C1028" s="124">
        <f t="shared" si="1321"/>
        <v>12</v>
      </c>
      <c r="D1028" s="124">
        <f t="shared" si="1321"/>
        <v>12</v>
      </c>
      <c r="E1028" s="124">
        <f t="shared" si="1321"/>
        <v>12</v>
      </c>
      <c r="F1028" s="124">
        <f t="shared" si="1321"/>
        <v>12</v>
      </c>
      <c r="G1028" s="124">
        <f t="shared" si="1321"/>
        <v>12</v>
      </c>
      <c r="H1028" s="124">
        <f t="shared" ref="H1028:I1028" si="1322">SUM(H1021:H1027)</f>
        <v>12</v>
      </c>
      <c r="I1028" s="124">
        <f t="shared" si="1322"/>
        <v>12</v>
      </c>
      <c r="J1028" s="124">
        <f t="shared" ref="J1028:K1028" si="1323">SUM(J1021:J1027)</f>
        <v>7</v>
      </c>
      <c r="K1028" s="124">
        <f t="shared" si="1323"/>
        <v>0</v>
      </c>
      <c r="L1028" s="124">
        <f t="shared" ref="L1028:M1028" si="1324">SUM(L1021:L1027)</f>
        <v>0</v>
      </c>
      <c r="M1028" s="124">
        <f t="shared" si="1324"/>
        <v>0</v>
      </c>
      <c r="N1028" s="175">
        <f>SUM(N1021:N1026)</f>
        <v>100</v>
      </c>
      <c r="O1028" s="125">
        <f>SUM(O1021:O1026)</f>
        <v>8.3333333333333339</v>
      </c>
      <c r="P1028" s="8"/>
      <c r="Q1028" s="8"/>
      <c r="R1028" s="8"/>
      <c r="S1028" s="8"/>
      <c r="T1028" s="8"/>
      <c r="U1028" s="8"/>
      <c r="V1028" s="8"/>
      <c r="W1028" s="8"/>
      <c r="X1028" s="8"/>
      <c r="Y1028" s="8"/>
      <c r="Z1028" s="8"/>
    </row>
    <row r="1029" spans="1:26" s="9" customFormat="1" ht="15.75">
      <c r="A1029" s="62" t="s">
        <v>112</v>
      </c>
      <c r="B1029" s="25">
        <f t="shared" ref="B1029:G1029" si="1325">IF(B1028=0,"",B1028/B$1870)</f>
        <v>0.38709677419354838</v>
      </c>
      <c r="C1029" s="25">
        <f t="shared" si="1325"/>
        <v>0.42857142857142855</v>
      </c>
      <c r="D1029" s="25">
        <f t="shared" si="1325"/>
        <v>0.38709677419354838</v>
      </c>
      <c r="E1029" s="25">
        <f t="shared" si="1325"/>
        <v>0.4</v>
      </c>
      <c r="F1029" s="25">
        <f t="shared" si="1325"/>
        <v>0.38709677419354838</v>
      </c>
      <c r="G1029" s="25">
        <f t="shared" si="1325"/>
        <v>0.4</v>
      </c>
      <c r="H1029" s="25">
        <f t="shared" ref="H1029:I1029" si="1326">IF(H1028=0,"",H1028/H$1870)</f>
        <v>0.38709677419354838</v>
      </c>
      <c r="I1029" s="25">
        <f t="shared" si="1326"/>
        <v>0.38709677419354838</v>
      </c>
      <c r="J1029" s="25">
        <f t="shared" ref="J1029" si="1327">IF(J1028=0,"",J1028/J$1870)</f>
        <v>0.23333333333333334</v>
      </c>
      <c r="K1029" s="25" t="s">
        <v>44</v>
      </c>
      <c r="L1029" s="25" t="s">
        <v>44</v>
      </c>
      <c r="M1029" s="25" t="s">
        <v>44</v>
      </c>
      <c r="N1029" s="144">
        <f>SUM(B1029:M1029)</f>
        <v>3.397388632872504</v>
      </c>
      <c r="O1029" s="25">
        <f>IF(N1029=0,0,AVERAGE(B1029:M1029))</f>
        <v>0.37748762587472268</v>
      </c>
      <c r="P1029" s="8"/>
      <c r="Q1029" s="8"/>
      <c r="R1029" s="8"/>
      <c r="S1029" s="8"/>
      <c r="T1029" s="8"/>
      <c r="U1029" s="8"/>
      <c r="V1029" s="8"/>
      <c r="W1029" s="8"/>
      <c r="X1029" s="8"/>
      <c r="Y1029" s="8"/>
      <c r="Z1029" s="8"/>
    </row>
    <row r="1030" spans="1:26" s="9" customFormat="1" ht="15.75">
      <c r="A1030" s="101"/>
      <c r="B1030" s="27"/>
      <c r="C1030" s="27"/>
      <c r="D1030" s="27"/>
      <c r="E1030" s="28"/>
      <c r="F1030" s="28"/>
      <c r="G1030" s="28"/>
      <c r="H1030" s="28"/>
      <c r="I1030" s="28"/>
      <c r="J1030" s="28"/>
      <c r="K1030" s="28"/>
      <c r="L1030" s="28"/>
      <c r="M1030" s="28"/>
      <c r="N1030" s="151"/>
      <c r="O1030" s="102"/>
      <c r="P1030" s="8"/>
      <c r="Q1030" s="8"/>
      <c r="R1030" s="8"/>
      <c r="S1030" s="8"/>
      <c r="T1030" s="8"/>
      <c r="U1030" s="8"/>
      <c r="V1030" s="8"/>
      <c r="W1030" s="8"/>
      <c r="X1030" s="8"/>
      <c r="Y1030" s="8"/>
      <c r="Z1030" s="8"/>
    </row>
    <row r="1031" spans="1:26" s="9" customFormat="1" ht="15.75">
      <c r="A1031" s="66" t="s">
        <v>791</v>
      </c>
      <c r="B1031" s="18"/>
      <c r="C1031" s="18"/>
      <c r="D1031" s="18"/>
      <c r="E1031" s="18"/>
      <c r="F1031" s="18"/>
      <c r="G1031" s="18"/>
      <c r="H1031" s="18"/>
      <c r="I1031" s="18"/>
      <c r="J1031" s="18"/>
      <c r="K1031" s="18"/>
      <c r="L1031" s="18"/>
      <c r="M1031" s="18"/>
      <c r="N1031" s="149"/>
      <c r="O1031" s="19"/>
      <c r="P1031" s="8"/>
      <c r="Q1031" s="8"/>
      <c r="R1031" s="8"/>
      <c r="S1031" s="8"/>
      <c r="T1031" s="8"/>
      <c r="U1031" s="8"/>
      <c r="V1031" s="8"/>
      <c r="W1031" s="8"/>
      <c r="X1031" s="8"/>
      <c r="Y1031" s="8"/>
      <c r="Z1031" s="8"/>
    </row>
    <row r="1032" spans="1:26" s="9" customFormat="1" ht="15.75">
      <c r="A1032" s="104" t="s">
        <v>114</v>
      </c>
      <c r="B1032" s="105">
        <f t="shared" ref="B1032:G1032" si="1328">B1028</f>
        <v>12</v>
      </c>
      <c r="C1032" s="105">
        <f t="shared" si="1328"/>
        <v>12</v>
      </c>
      <c r="D1032" s="105">
        <f t="shared" si="1328"/>
        <v>12</v>
      </c>
      <c r="E1032" s="105">
        <f t="shared" si="1328"/>
        <v>12</v>
      </c>
      <c r="F1032" s="105">
        <f t="shared" si="1328"/>
        <v>12</v>
      </c>
      <c r="G1032" s="105">
        <f t="shared" si="1328"/>
        <v>12</v>
      </c>
      <c r="H1032" s="105">
        <f t="shared" ref="H1032:I1032" si="1329">H1028</f>
        <v>12</v>
      </c>
      <c r="I1032" s="105">
        <f t="shared" si="1329"/>
        <v>12</v>
      </c>
      <c r="J1032" s="105">
        <f t="shared" ref="J1032:K1032" si="1330">J1028</f>
        <v>7</v>
      </c>
      <c r="K1032" s="105">
        <f t="shared" si="1330"/>
        <v>0</v>
      </c>
      <c r="L1032" s="105">
        <f t="shared" ref="L1032:M1032" si="1331">L1028</f>
        <v>0</v>
      </c>
      <c r="M1032" s="105">
        <f t="shared" si="1331"/>
        <v>0</v>
      </c>
      <c r="N1032" s="150">
        <f>SUM(B1032:M1032)</f>
        <v>103</v>
      </c>
      <c r="O1032" s="22">
        <f>IF(N1032=0,0,AVERAGE(B1032:M1032))</f>
        <v>8.5833333333333339</v>
      </c>
      <c r="P1032" s="8"/>
      <c r="Q1032" s="8"/>
      <c r="R1032" s="8"/>
      <c r="S1032" s="8"/>
      <c r="T1032" s="8"/>
      <c r="U1032" s="8"/>
      <c r="V1032" s="8"/>
      <c r="W1032" s="8"/>
      <c r="X1032" s="8"/>
      <c r="Y1032" s="8"/>
      <c r="Z1032" s="8"/>
    </row>
    <row r="1033" spans="1:26" s="9" customFormat="1" ht="15.75">
      <c r="A1033" s="62" t="s">
        <v>21</v>
      </c>
      <c r="B1033" s="24">
        <f t="shared" ref="B1033:C1033" si="1332">SUM(B1032)</f>
        <v>12</v>
      </c>
      <c r="C1033" s="24">
        <f t="shared" si="1332"/>
        <v>12</v>
      </c>
      <c r="D1033" s="24">
        <f t="shared" ref="D1033:E1033" si="1333">SUM(D1032)</f>
        <v>12</v>
      </c>
      <c r="E1033" s="24">
        <f t="shared" si="1333"/>
        <v>12</v>
      </c>
      <c r="F1033" s="24">
        <f t="shared" ref="F1033:G1033" si="1334">SUM(F1032)</f>
        <v>12</v>
      </c>
      <c r="G1033" s="24">
        <f t="shared" si="1334"/>
        <v>12</v>
      </c>
      <c r="H1033" s="24">
        <f t="shared" ref="H1033:I1033" si="1335">SUM(H1032)</f>
        <v>12</v>
      </c>
      <c r="I1033" s="24">
        <f t="shared" si="1335"/>
        <v>12</v>
      </c>
      <c r="J1033" s="24">
        <f t="shared" ref="J1033:K1033" si="1336">SUM(J1032)</f>
        <v>7</v>
      </c>
      <c r="K1033" s="24">
        <f t="shared" si="1336"/>
        <v>0</v>
      </c>
      <c r="L1033" s="24">
        <f t="shared" ref="L1033:M1033" si="1337">SUM(L1032)</f>
        <v>0</v>
      </c>
      <c r="M1033" s="24">
        <f t="shared" si="1337"/>
        <v>0</v>
      </c>
      <c r="N1033" s="144">
        <f>SUM(N1032)</f>
        <v>103</v>
      </c>
      <c r="O1033" s="25">
        <f>SUM(O1032)</f>
        <v>8.5833333333333339</v>
      </c>
      <c r="P1033" s="8"/>
      <c r="Q1033" s="8"/>
      <c r="R1033" s="8"/>
      <c r="S1033" s="8"/>
      <c r="T1033" s="8"/>
      <c r="U1033" s="8"/>
      <c r="V1033" s="8"/>
      <c r="W1033" s="8"/>
      <c r="X1033" s="8"/>
      <c r="Y1033" s="8"/>
      <c r="Z1033" s="8"/>
    </row>
    <row r="1034" spans="1:26" s="9" customFormat="1" ht="15.75">
      <c r="A1034" s="62" t="s">
        <v>112</v>
      </c>
      <c r="B1034" s="25">
        <f t="shared" ref="B1034:G1034" si="1338">IF(B1033=0,"",B1033/B$1870)</f>
        <v>0.38709677419354838</v>
      </c>
      <c r="C1034" s="25">
        <f t="shared" si="1338"/>
        <v>0.42857142857142855</v>
      </c>
      <c r="D1034" s="25">
        <f t="shared" si="1338"/>
        <v>0.38709677419354838</v>
      </c>
      <c r="E1034" s="25">
        <f t="shared" si="1338"/>
        <v>0.4</v>
      </c>
      <c r="F1034" s="25">
        <f t="shared" si="1338"/>
        <v>0.38709677419354838</v>
      </c>
      <c r="G1034" s="25">
        <f t="shared" si="1338"/>
        <v>0.4</v>
      </c>
      <c r="H1034" s="25">
        <f t="shared" ref="H1034:I1034" si="1339">IF(H1033=0,"",H1033/H$1870)</f>
        <v>0.38709677419354838</v>
      </c>
      <c r="I1034" s="25">
        <f t="shared" si="1339"/>
        <v>0.38709677419354838</v>
      </c>
      <c r="J1034" s="25">
        <f t="shared" ref="J1034" si="1340">IF(J1033=0,"",J1033/J$1870)</f>
        <v>0.23333333333333334</v>
      </c>
      <c r="K1034" s="25" t="s">
        <v>44</v>
      </c>
      <c r="L1034" s="25" t="s">
        <v>44</v>
      </c>
      <c r="M1034" s="25" t="s">
        <v>44</v>
      </c>
      <c r="N1034" s="144">
        <f>SUM(B1034:M1034)</f>
        <v>3.397388632872504</v>
      </c>
      <c r="O1034" s="25">
        <f>IF(N1034=0,0,AVERAGE(B1034:M1034))</f>
        <v>0.37748762587472268</v>
      </c>
      <c r="P1034" s="8"/>
      <c r="Q1034" s="8"/>
      <c r="R1034" s="8"/>
      <c r="S1034" s="8"/>
      <c r="T1034" s="8"/>
      <c r="U1034" s="8"/>
      <c r="V1034" s="8"/>
      <c r="W1034" s="8"/>
      <c r="X1034" s="8"/>
      <c r="Y1034" s="8"/>
      <c r="Z1034" s="8"/>
    </row>
    <row r="1035" spans="1:26" s="9" customFormat="1" ht="15.75">
      <c r="A1035" s="101"/>
      <c r="B1035" s="27"/>
      <c r="C1035" s="27"/>
      <c r="D1035" s="27"/>
      <c r="E1035" s="27"/>
      <c r="F1035" s="27"/>
      <c r="G1035" s="27"/>
      <c r="H1035" s="27"/>
      <c r="I1035" s="27"/>
      <c r="J1035" s="28"/>
      <c r="K1035" s="28"/>
      <c r="L1035" s="28"/>
      <c r="M1035" s="28"/>
      <c r="N1035" s="151"/>
      <c r="O1035" s="57"/>
      <c r="P1035" s="8"/>
      <c r="Q1035" s="8"/>
      <c r="R1035" s="8"/>
      <c r="S1035" s="8"/>
      <c r="T1035" s="8"/>
      <c r="U1035" s="8"/>
      <c r="V1035" s="8"/>
      <c r="W1035" s="8"/>
      <c r="X1035" s="8"/>
      <c r="Y1035" s="8"/>
      <c r="Z1035" s="8"/>
    </row>
    <row r="1036" spans="1:26" s="9" customFormat="1" ht="15.75">
      <c r="A1036" s="91" t="s">
        <v>153</v>
      </c>
      <c r="B1036" s="92">
        <f t="shared" ref="B1036:G1036" si="1341">B1017</f>
        <v>0</v>
      </c>
      <c r="C1036" s="92">
        <f t="shared" si="1341"/>
        <v>0</v>
      </c>
      <c r="D1036" s="92">
        <f t="shared" si="1341"/>
        <v>0</v>
      </c>
      <c r="E1036" s="92">
        <f t="shared" si="1341"/>
        <v>0</v>
      </c>
      <c r="F1036" s="92">
        <f t="shared" si="1341"/>
        <v>0</v>
      </c>
      <c r="G1036" s="92">
        <f t="shared" si="1341"/>
        <v>0</v>
      </c>
      <c r="H1036" s="92">
        <f t="shared" ref="H1036:I1036" si="1342">H1017</f>
        <v>0</v>
      </c>
      <c r="I1036" s="92">
        <f t="shared" si="1342"/>
        <v>0</v>
      </c>
      <c r="J1036" s="92">
        <f t="shared" ref="J1036:K1036" si="1343">J1017</f>
        <v>0</v>
      </c>
      <c r="K1036" s="92">
        <f t="shared" si="1343"/>
        <v>0</v>
      </c>
      <c r="L1036" s="92">
        <f t="shared" ref="L1036:M1036" si="1344">L1017</f>
        <v>0</v>
      </c>
      <c r="M1036" s="92">
        <f t="shared" si="1344"/>
        <v>0</v>
      </c>
      <c r="N1036" s="150">
        <f>SUM(B1036:M1036)</f>
        <v>0</v>
      </c>
      <c r="O1036" s="22">
        <f>IF(N1036=0,0,AVERAGE(B1036:M1036))</f>
        <v>0</v>
      </c>
      <c r="P1036" s="8"/>
      <c r="Q1036" s="8"/>
      <c r="R1036" s="8"/>
      <c r="S1036" s="8"/>
      <c r="T1036" s="8"/>
      <c r="U1036" s="8"/>
      <c r="V1036" s="8"/>
      <c r="W1036" s="8"/>
      <c r="X1036" s="8"/>
      <c r="Y1036" s="8"/>
      <c r="Z1036" s="8"/>
    </row>
    <row r="1037" spans="1:26" s="9" customFormat="1" ht="15.75">
      <c r="A1037" s="91" t="s">
        <v>154</v>
      </c>
      <c r="B1037" s="92">
        <f t="shared" ref="B1037:C1037" si="1345">B1033</f>
        <v>12</v>
      </c>
      <c r="C1037" s="92">
        <f t="shared" si="1345"/>
        <v>12</v>
      </c>
      <c r="D1037" s="92">
        <f t="shared" ref="D1037:E1037" si="1346">D1033</f>
        <v>12</v>
      </c>
      <c r="E1037" s="92">
        <f t="shared" si="1346"/>
        <v>12</v>
      </c>
      <c r="F1037" s="92">
        <f t="shared" ref="F1037:G1037" si="1347">F1033</f>
        <v>12</v>
      </c>
      <c r="G1037" s="92">
        <f t="shared" si="1347"/>
        <v>12</v>
      </c>
      <c r="H1037" s="92">
        <f t="shared" ref="H1037:I1037" si="1348">H1033</f>
        <v>12</v>
      </c>
      <c r="I1037" s="92">
        <f t="shared" si="1348"/>
        <v>12</v>
      </c>
      <c r="J1037" s="92">
        <f t="shared" ref="J1037:K1037" si="1349">J1033</f>
        <v>7</v>
      </c>
      <c r="K1037" s="92">
        <f t="shared" si="1349"/>
        <v>0</v>
      </c>
      <c r="L1037" s="92">
        <f t="shared" ref="L1037:M1037" si="1350">L1033</f>
        <v>0</v>
      </c>
      <c r="M1037" s="92">
        <f t="shared" si="1350"/>
        <v>0</v>
      </c>
      <c r="N1037" s="150">
        <f>SUM(B1037:M1037)</f>
        <v>103</v>
      </c>
      <c r="O1037" s="22">
        <f>IF(N1037=0,0,AVERAGE(B1037:M1037))</f>
        <v>8.5833333333333339</v>
      </c>
      <c r="P1037" s="8"/>
      <c r="Q1037" s="8"/>
      <c r="R1037" s="8"/>
      <c r="S1037" s="8"/>
      <c r="T1037" s="8"/>
      <c r="U1037" s="8"/>
      <c r="V1037" s="8"/>
      <c r="W1037" s="8"/>
      <c r="X1037" s="8"/>
      <c r="Y1037" s="8"/>
      <c r="Z1037" s="8"/>
    </row>
    <row r="1038" spans="1:26" s="9" customFormat="1" ht="15.75">
      <c r="A1038" s="381" t="s">
        <v>155</v>
      </c>
      <c r="B1038" s="372">
        <f t="shared" ref="B1038:C1038" si="1351">SUM(B1036:B1037)</f>
        <v>12</v>
      </c>
      <c r="C1038" s="372">
        <f t="shared" si="1351"/>
        <v>12</v>
      </c>
      <c r="D1038" s="372">
        <f t="shared" ref="D1038:E1038" si="1352">SUM(D1036:D1037)</f>
        <v>12</v>
      </c>
      <c r="E1038" s="372">
        <f t="shared" si="1352"/>
        <v>12</v>
      </c>
      <c r="F1038" s="372">
        <f t="shared" ref="F1038:G1038" si="1353">SUM(F1036:F1037)</f>
        <v>12</v>
      </c>
      <c r="G1038" s="372">
        <f t="shared" si="1353"/>
        <v>12</v>
      </c>
      <c r="H1038" s="372">
        <f t="shared" ref="H1038:I1038" si="1354">SUM(H1036:H1037)</f>
        <v>12</v>
      </c>
      <c r="I1038" s="372">
        <f t="shared" si="1354"/>
        <v>12</v>
      </c>
      <c r="J1038" s="372">
        <f t="shared" ref="J1038:K1038" si="1355">SUM(J1036:J1037)</f>
        <v>7</v>
      </c>
      <c r="K1038" s="372">
        <f t="shared" si="1355"/>
        <v>0</v>
      </c>
      <c r="L1038" s="372">
        <f t="shared" ref="L1038:M1038" si="1356">SUM(L1036:L1037)</f>
        <v>0</v>
      </c>
      <c r="M1038" s="372">
        <f t="shared" si="1356"/>
        <v>0</v>
      </c>
      <c r="N1038" s="373">
        <f>SUM(N1036:N1037)</f>
        <v>103</v>
      </c>
      <c r="O1038" s="374">
        <f>SUM(O1036:O1037)</f>
        <v>8.5833333333333339</v>
      </c>
      <c r="P1038" s="8"/>
      <c r="Q1038" s="8"/>
      <c r="R1038" s="8"/>
      <c r="S1038" s="8"/>
      <c r="T1038" s="8"/>
      <c r="U1038" s="8"/>
      <c r="V1038" s="8"/>
      <c r="W1038" s="8"/>
      <c r="X1038" s="8"/>
      <c r="Y1038" s="8"/>
      <c r="Z1038" s="8"/>
    </row>
    <row r="1039" spans="1:26" s="9" customFormat="1" ht="15.75">
      <c r="A1039" s="88"/>
      <c r="B1039" s="89"/>
      <c r="C1039" s="89"/>
      <c r="D1039" s="89"/>
      <c r="E1039" s="89"/>
      <c r="F1039" s="89"/>
      <c r="G1039" s="89"/>
      <c r="H1039" s="89"/>
      <c r="I1039" s="89"/>
      <c r="J1039" s="89"/>
      <c r="K1039" s="89"/>
      <c r="L1039" s="89"/>
      <c r="M1039" s="89"/>
      <c r="N1039" s="167"/>
      <c r="O1039" s="90"/>
      <c r="P1039" s="8"/>
      <c r="Q1039" s="8"/>
      <c r="R1039" s="8"/>
      <c r="S1039" s="8"/>
      <c r="T1039" s="8"/>
      <c r="U1039" s="8"/>
      <c r="V1039" s="8"/>
      <c r="W1039" s="8"/>
      <c r="X1039" s="8"/>
      <c r="Y1039" s="8"/>
      <c r="Z1039" s="8"/>
    </row>
    <row r="1040" spans="1:26" s="9" customFormat="1" ht="15.75">
      <c r="A1040" s="17" t="s">
        <v>611</v>
      </c>
      <c r="B1040" s="18"/>
      <c r="C1040" s="18"/>
      <c r="D1040" s="18"/>
      <c r="E1040" s="18"/>
      <c r="F1040" s="18"/>
      <c r="G1040" s="18"/>
      <c r="H1040" s="18"/>
      <c r="I1040" s="18"/>
      <c r="J1040" s="18"/>
      <c r="K1040" s="18"/>
      <c r="L1040" s="18"/>
      <c r="M1040" s="18"/>
      <c r="N1040" s="149"/>
      <c r="O1040" s="19"/>
      <c r="P1040" s="8"/>
      <c r="Q1040" s="8"/>
      <c r="R1040" s="8"/>
      <c r="S1040" s="8"/>
      <c r="T1040" s="8"/>
      <c r="U1040" s="8"/>
      <c r="V1040" s="8"/>
      <c r="W1040" s="8"/>
      <c r="X1040" s="8"/>
      <c r="Y1040" s="8"/>
      <c r="Z1040" s="8"/>
    </row>
    <row r="1041" spans="1:26" s="9" customFormat="1" ht="15.75">
      <c r="A1041" s="66" t="s">
        <v>358</v>
      </c>
      <c r="B1041" s="18"/>
      <c r="C1041" s="18"/>
      <c r="D1041" s="18"/>
      <c r="E1041" s="18"/>
      <c r="F1041" s="18"/>
      <c r="G1041" s="18"/>
      <c r="H1041" s="18"/>
      <c r="I1041" s="18"/>
      <c r="J1041" s="18"/>
      <c r="K1041" s="18"/>
      <c r="L1041" s="18"/>
      <c r="M1041" s="18"/>
      <c r="N1041" s="149"/>
      <c r="O1041" s="19"/>
      <c r="P1041" s="8"/>
      <c r="Q1041" s="8"/>
      <c r="R1041" s="8"/>
      <c r="S1041" s="8"/>
      <c r="T1041" s="8"/>
      <c r="U1041" s="8"/>
      <c r="V1041" s="8"/>
      <c r="W1041" s="8"/>
      <c r="X1041" s="8"/>
      <c r="Y1041" s="8"/>
      <c r="Z1041" s="8"/>
    </row>
    <row r="1042" spans="1:26" s="9" customFormat="1" ht="15.75">
      <c r="A1042" s="40" t="s">
        <v>18</v>
      </c>
      <c r="B1042" s="21">
        <v>0</v>
      </c>
      <c r="C1042" s="21">
        <v>0</v>
      </c>
      <c r="D1042" s="21">
        <v>0</v>
      </c>
      <c r="E1042" s="21">
        <v>0</v>
      </c>
      <c r="F1042" s="21">
        <v>0</v>
      </c>
      <c r="G1042" s="21">
        <v>0</v>
      </c>
      <c r="H1042" s="21">
        <v>0</v>
      </c>
      <c r="I1042" s="21">
        <v>0</v>
      </c>
      <c r="J1042" s="87">
        <v>0</v>
      </c>
      <c r="K1042" s="87">
        <v>0</v>
      </c>
      <c r="L1042" s="87">
        <v>0</v>
      </c>
      <c r="M1042" s="87">
        <v>0</v>
      </c>
      <c r="N1042" s="150">
        <f>SUM(B1042:M1042)</f>
        <v>0</v>
      </c>
      <c r="O1042" s="22">
        <f>IF(N1042=0,0,AVERAGE(B1042:M1042))</f>
        <v>0</v>
      </c>
      <c r="P1042" s="8"/>
      <c r="Q1042" s="8"/>
      <c r="R1042" s="8"/>
      <c r="S1042" s="8"/>
      <c r="T1042" s="8"/>
      <c r="U1042" s="8"/>
      <c r="V1042" s="8"/>
      <c r="W1042" s="8"/>
      <c r="X1042" s="8"/>
      <c r="Y1042" s="8"/>
      <c r="Z1042" s="8"/>
    </row>
    <row r="1043" spans="1:26" s="9" customFormat="1" ht="15.75">
      <c r="A1043" s="40" t="s">
        <v>19</v>
      </c>
      <c r="B1043" s="21">
        <v>0</v>
      </c>
      <c r="C1043" s="21">
        <v>0</v>
      </c>
      <c r="D1043" s="21">
        <v>0</v>
      </c>
      <c r="E1043" s="21">
        <v>0</v>
      </c>
      <c r="F1043" s="21">
        <v>0</v>
      </c>
      <c r="G1043" s="21">
        <v>0</v>
      </c>
      <c r="H1043" s="21">
        <v>0</v>
      </c>
      <c r="I1043" s="21">
        <v>0</v>
      </c>
      <c r="J1043" s="87">
        <v>0</v>
      </c>
      <c r="K1043" s="87">
        <v>0</v>
      </c>
      <c r="L1043" s="87">
        <v>0</v>
      </c>
      <c r="M1043" s="87">
        <v>0</v>
      </c>
      <c r="N1043" s="150">
        <f>SUM(B1043:M1043)</f>
        <v>0</v>
      </c>
      <c r="O1043" s="22">
        <f>IF(N1043=0,0,AVERAGE(B1043:M1043))</f>
        <v>0</v>
      </c>
      <c r="P1043" s="8"/>
      <c r="Q1043" s="8"/>
      <c r="R1043" s="8"/>
      <c r="S1043" s="8"/>
      <c r="T1043" s="8"/>
      <c r="U1043" s="8"/>
      <c r="V1043" s="8"/>
      <c r="W1043" s="8"/>
      <c r="X1043" s="8"/>
      <c r="Y1043" s="8"/>
      <c r="Z1043" s="8"/>
    </row>
    <row r="1044" spans="1:26" s="9" customFormat="1" ht="15.75">
      <c r="A1044" s="40" t="s">
        <v>20</v>
      </c>
      <c r="B1044" s="21">
        <v>0</v>
      </c>
      <c r="C1044" s="21">
        <v>0</v>
      </c>
      <c r="D1044" s="21">
        <v>0</v>
      </c>
      <c r="E1044" s="21">
        <v>0</v>
      </c>
      <c r="F1044" s="21">
        <v>0</v>
      </c>
      <c r="G1044" s="21">
        <v>0</v>
      </c>
      <c r="H1044" s="21">
        <v>0</v>
      </c>
      <c r="I1044" s="21">
        <v>0</v>
      </c>
      <c r="J1044" s="21">
        <v>0</v>
      </c>
      <c r="K1044" s="21">
        <v>0</v>
      </c>
      <c r="L1044" s="21">
        <v>0</v>
      </c>
      <c r="M1044" s="21">
        <v>0</v>
      </c>
      <c r="N1044" s="150">
        <f>SUM(B1044:M1044)</f>
        <v>0</v>
      </c>
      <c r="O1044" s="22">
        <f>IF(N1044=0,0,AVERAGE(B1044:M1044))</f>
        <v>0</v>
      </c>
      <c r="P1044" s="8"/>
      <c r="Q1044" s="8"/>
      <c r="R1044" s="8"/>
      <c r="S1044" s="8"/>
      <c r="T1044" s="8"/>
      <c r="U1044" s="8"/>
      <c r="V1044" s="8"/>
      <c r="W1044" s="8"/>
      <c r="X1044" s="8"/>
      <c r="Y1044" s="8"/>
      <c r="Z1044" s="8"/>
    </row>
    <row r="1045" spans="1:26" s="9" customFormat="1" ht="15.75">
      <c r="A1045" s="62" t="s">
        <v>21</v>
      </c>
      <c r="B1045" s="24">
        <f t="shared" ref="B1045:C1045" si="1357">SUM(B1042:B1044)</f>
        <v>0</v>
      </c>
      <c r="C1045" s="24">
        <f t="shared" si="1357"/>
        <v>0</v>
      </c>
      <c r="D1045" s="24">
        <f t="shared" ref="D1045:E1045" si="1358">SUM(D1042:D1044)</f>
        <v>0</v>
      </c>
      <c r="E1045" s="24">
        <f t="shared" si="1358"/>
        <v>0</v>
      </c>
      <c r="F1045" s="24">
        <f t="shared" ref="F1045:G1045" si="1359">SUM(F1042:F1044)</f>
        <v>0</v>
      </c>
      <c r="G1045" s="24">
        <f t="shared" si="1359"/>
        <v>0</v>
      </c>
      <c r="H1045" s="24">
        <f t="shared" ref="H1045:I1045" si="1360">SUM(H1042:H1044)</f>
        <v>0</v>
      </c>
      <c r="I1045" s="24">
        <f t="shared" si="1360"/>
        <v>0</v>
      </c>
      <c r="J1045" s="24">
        <f t="shared" ref="J1045:K1045" si="1361">SUM(J1042:J1044)</f>
        <v>0</v>
      </c>
      <c r="K1045" s="24">
        <f t="shared" si="1361"/>
        <v>0</v>
      </c>
      <c r="L1045" s="24">
        <f t="shared" ref="L1045:M1045" si="1362">SUM(L1042:L1044)</f>
        <v>0</v>
      </c>
      <c r="M1045" s="24">
        <f t="shared" si="1362"/>
        <v>0</v>
      </c>
      <c r="N1045" s="144">
        <f>SUM(N1042:N1044)</f>
        <v>0</v>
      </c>
      <c r="O1045" s="25">
        <f>SUM(O1042:O1044)</f>
        <v>0</v>
      </c>
      <c r="P1045" s="8"/>
      <c r="Q1045" s="8"/>
      <c r="R1045" s="8"/>
      <c r="S1045" s="8"/>
      <c r="T1045" s="8"/>
      <c r="U1045" s="8"/>
      <c r="V1045" s="8"/>
      <c r="W1045" s="8"/>
      <c r="X1045" s="8"/>
      <c r="Y1045" s="8"/>
      <c r="Z1045" s="8"/>
    </row>
    <row r="1046" spans="1:26" s="9" customFormat="1" ht="15.75">
      <c r="A1046" s="62" t="s">
        <v>112</v>
      </c>
      <c r="B1046" s="24" t="s">
        <v>44</v>
      </c>
      <c r="C1046" s="24" t="s">
        <v>44</v>
      </c>
      <c r="D1046" s="24" t="s">
        <v>44</v>
      </c>
      <c r="E1046" s="24" t="s">
        <v>44</v>
      </c>
      <c r="F1046" s="24" t="s">
        <v>44</v>
      </c>
      <c r="G1046" s="24" t="s">
        <v>44</v>
      </c>
      <c r="H1046" s="24" t="s">
        <v>44</v>
      </c>
      <c r="I1046" s="24" t="s">
        <v>44</v>
      </c>
      <c r="J1046" s="24" t="s">
        <v>44</v>
      </c>
      <c r="K1046" s="24" t="s">
        <v>44</v>
      </c>
      <c r="L1046" s="24" t="s">
        <v>44</v>
      </c>
      <c r="M1046" s="24" t="s">
        <v>44</v>
      </c>
      <c r="N1046" s="144">
        <f>SUM(B1046:M1046)</f>
        <v>0</v>
      </c>
      <c r="O1046" s="25">
        <f>IF(N1046=0,0,AVERAGE(B1046:M1046))</f>
        <v>0</v>
      </c>
      <c r="P1046" s="8"/>
      <c r="Q1046" s="8"/>
      <c r="R1046" s="8"/>
      <c r="S1046" s="8"/>
      <c r="T1046" s="8"/>
      <c r="U1046" s="8"/>
      <c r="V1046" s="8"/>
      <c r="W1046" s="8"/>
      <c r="X1046" s="8"/>
      <c r="Y1046" s="8"/>
      <c r="Z1046" s="8"/>
    </row>
    <row r="1047" spans="1:26" s="9" customFormat="1" ht="15.75">
      <c r="A1047" s="101"/>
      <c r="B1047" s="27"/>
      <c r="C1047" s="27"/>
      <c r="D1047" s="27"/>
      <c r="E1047" s="27"/>
      <c r="F1047" s="27"/>
      <c r="G1047" s="28"/>
      <c r="H1047" s="28"/>
      <c r="I1047" s="28"/>
      <c r="J1047" s="28"/>
      <c r="K1047" s="28"/>
      <c r="L1047" s="28"/>
      <c r="M1047" s="28"/>
      <c r="N1047" s="151"/>
      <c r="O1047" s="102"/>
      <c r="P1047" s="8"/>
      <c r="Q1047" s="8"/>
      <c r="R1047" s="8"/>
      <c r="S1047" s="8"/>
      <c r="T1047" s="8"/>
      <c r="U1047" s="8"/>
      <c r="V1047" s="8"/>
      <c r="W1047" s="8"/>
      <c r="X1047" s="8"/>
      <c r="Y1047" s="8"/>
      <c r="Z1047" s="8"/>
    </row>
    <row r="1048" spans="1:26" s="9" customFormat="1" ht="15.75">
      <c r="A1048" s="66" t="s">
        <v>357</v>
      </c>
      <c r="B1048" s="18"/>
      <c r="C1048" s="18"/>
      <c r="D1048" s="18"/>
      <c r="E1048" s="18"/>
      <c r="F1048" s="18"/>
      <c r="G1048" s="18"/>
      <c r="H1048" s="18"/>
      <c r="I1048" s="18"/>
      <c r="J1048" s="18"/>
      <c r="K1048" s="18"/>
      <c r="L1048" s="18"/>
      <c r="M1048" s="18"/>
      <c r="N1048" s="149"/>
      <c r="O1048" s="19"/>
      <c r="P1048" s="8"/>
      <c r="Q1048" s="8"/>
      <c r="R1048" s="8"/>
      <c r="S1048" s="8"/>
      <c r="T1048" s="8"/>
      <c r="U1048" s="8"/>
      <c r="V1048" s="8"/>
      <c r="W1048" s="8"/>
      <c r="X1048" s="8"/>
      <c r="Y1048" s="8"/>
      <c r="Z1048" s="8"/>
    </row>
    <row r="1049" spans="1:26" s="9" customFormat="1" ht="15.75">
      <c r="A1049" s="104" t="s">
        <v>114</v>
      </c>
      <c r="B1049" s="105">
        <v>5</v>
      </c>
      <c r="C1049" s="105">
        <v>5</v>
      </c>
      <c r="D1049" s="105">
        <v>4</v>
      </c>
      <c r="E1049" s="105">
        <v>0</v>
      </c>
      <c r="F1049" s="105">
        <v>0</v>
      </c>
      <c r="G1049" s="105">
        <v>2</v>
      </c>
      <c r="H1049" s="105">
        <v>3</v>
      </c>
      <c r="I1049" s="105">
        <v>2</v>
      </c>
      <c r="J1049" s="106">
        <v>2</v>
      </c>
      <c r="K1049" s="106">
        <v>0</v>
      </c>
      <c r="L1049" s="106">
        <v>0</v>
      </c>
      <c r="M1049" s="106">
        <v>0</v>
      </c>
      <c r="N1049" s="150">
        <f>SUM(B1049:M1049)</f>
        <v>23</v>
      </c>
      <c r="O1049" s="22">
        <f>IF(N1049=0,0,AVERAGE(B1049:M1049))</f>
        <v>1.9166666666666667</v>
      </c>
      <c r="P1049" s="8"/>
      <c r="Q1049" s="8"/>
      <c r="R1049" s="8"/>
      <c r="S1049" s="8"/>
      <c r="T1049" s="8"/>
      <c r="U1049" s="8"/>
      <c r="V1049" s="8"/>
      <c r="W1049" s="8"/>
      <c r="X1049" s="8"/>
      <c r="Y1049" s="8"/>
      <c r="Z1049" s="8"/>
    </row>
    <row r="1050" spans="1:26" s="9" customFormat="1" ht="15.75">
      <c r="A1050" s="62" t="s">
        <v>21</v>
      </c>
      <c r="B1050" s="24">
        <f t="shared" ref="B1050:C1050" si="1363">SUM(B1049)</f>
        <v>5</v>
      </c>
      <c r="C1050" s="24">
        <f t="shared" si="1363"/>
        <v>5</v>
      </c>
      <c r="D1050" s="24">
        <f t="shared" ref="D1050:E1050" si="1364">SUM(D1049)</f>
        <v>4</v>
      </c>
      <c r="E1050" s="24">
        <f t="shared" si="1364"/>
        <v>0</v>
      </c>
      <c r="F1050" s="24">
        <f t="shared" ref="F1050" si="1365">SUM(F1049)</f>
        <v>0</v>
      </c>
      <c r="G1050" s="24">
        <f t="shared" ref="G1050:H1050" si="1366">SUM(G1049)</f>
        <v>2</v>
      </c>
      <c r="H1050" s="24">
        <f t="shared" si="1366"/>
        <v>3</v>
      </c>
      <c r="I1050" s="24">
        <f t="shared" ref="I1050:J1050" si="1367">SUM(I1049)</f>
        <v>2</v>
      </c>
      <c r="J1050" s="24">
        <f t="shared" si="1367"/>
        <v>2</v>
      </c>
      <c r="K1050" s="24">
        <f t="shared" ref="K1050:L1050" si="1368">SUM(K1049)</f>
        <v>0</v>
      </c>
      <c r="L1050" s="24">
        <f t="shared" si="1368"/>
        <v>0</v>
      </c>
      <c r="M1050" s="24">
        <f t="shared" ref="M1050" si="1369">SUM(M1049)</f>
        <v>0</v>
      </c>
      <c r="N1050" s="144">
        <f>SUM(N1049)</f>
        <v>23</v>
      </c>
      <c r="O1050" s="25">
        <f>SUM(O1049)</f>
        <v>1.9166666666666667</v>
      </c>
      <c r="P1050" s="8"/>
      <c r="Q1050" s="8"/>
      <c r="R1050" s="8"/>
      <c r="S1050" s="8"/>
      <c r="T1050" s="8"/>
      <c r="U1050" s="8"/>
      <c r="V1050" s="8"/>
      <c r="W1050" s="8"/>
      <c r="X1050" s="8"/>
      <c r="Y1050" s="8"/>
      <c r="Z1050" s="8"/>
    </row>
    <row r="1051" spans="1:26" s="9" customFormat="1" ht="15.75">
      <c r="A1051" s="62" t="s">
        <v>112</v>
      </c>
      <c r="B1051" s="25">
        <f t="shared" ref="B1051:G1051" si="1370">IF(B1050=0,"",B1050/B$1870)</f>
        <v>0.16129032258064516</v>
      </c>
      <c r="C1051" s="25">
        <f t="shared" si="1370"/>
        <v>0.17857142857142858</v>
      </c>
      <c r="D1051" s="25">
        <f t="shared" si="1370"/>
        <v>0.12903225806451613</v>
      </c>
      <c r="E1051" s="25" t="str">
        <f t="shared" si="1370"/>
        <v/>
      </c>
      <c r="F1051" s="25" t="str">
        <f t="shared" si="1370"/>
        <v/>
      </c>
      <c r="G1051" s="25">
        <f t="shared" si="1370"/>
        <v>6.6666666666666666E-2</v>
      </c>
      <c r="H1051" s="25">
        <f t="shared" ref="H1051:I1051" si="1371">IF(H1050=0,"",H1050/H$1870)</f>
        <v>9.6774193548387094E-2</v>
      </c>
      <c r="I1051" s="25">
        <f t="shared" si="1371"/>
        <v>6.4516129032258063E-2</v>
      </c>
      <c r="J1051" s="25">
        <f t="shared" ref="J1051" si="1372">IF(J1050=0,"",J1050/J$1870)</f>
        <v>6.6666666666666666E-2</v>
      </c>
      <c r="K1051" s="25" t="s">
        <v>44</v>
      </c>
      <c r="L1051" s="25" t="s">
        <v>44</v>
      </c>
      <c r="M1051" s="25" t="s">
        <v>44</v>
      </c>
      <c r="N1051" s="144">
        <f>SUM(B1051:M1051)</f>
        <v>0.7635176651305684</v>
      </c>
      <c r="O1051" s="25">
        <f>IF(N1051=0,0,AVERAGE(B1051:M1051))</f>
        <v>0.10907395216150977</v>
      </c>
      <c r="P1051" s="8"/>
      <c r="Q1051" s="8"/>
      <c r="R1051" s="8"/>
      <c r="S1051" s="8"/>
      <c r="T1051" s="8"/>
      <c r="U1051" s="8"/>
      <c r="V1051" s="8"/>
      <c r="W1051" s="8"/>
      <c r="X1051" s="8"/>
      <c r="Y1051" s="8"/>
      <c r="Z1051" s="8"/>
    </row>
    <row r="1052" spans="1:26" s="9" customFormat="1" ht="15.75">
      <c r="A1052" s="101"/>
      <c r="B1052" s="27"/>
      <c r="C1052" s="27"/>
      <c r="D1052" s="27"/>
      <c r="E1052" s="27"/>
      <c r="F1052" s="27"/>
      <c r="G1052" s="28"/>
      <c r="H1052" s="28"/>
      <c r="I1052" s="28"/>
      <c r="J1052" s="28"/>
      <c r="K1052" s="28"/>
      <c r="L1052" s="28"/>
      <c r="M1052" s="28"/>
      <c r="N1052" s="151"/>
      <c r="O1052" s="57"/>
      <c r="P1052" s="8"/>
      <c r="Q1052" s="8"/>
      <c r="R1052" s="8"/>
      <c r="S1052" s="8"/>
      <c r="T1052" s="8"/>
      <c r="U1052" s="8"/>
      <c r="V1052" s="8"/>
      <c r="W1052" s="8"/>
      <c r="X1052" s="8"/>
      <c r="Y1052" s="8"/>
      <c r="Z1052" s="8"/>
    </row>
    <row r="1053" spans="1:26" s="9" customFormat="1" ht="15.75">
      <c r="A1053" s="91" t="s">
        <v>153</v>
      </c>
      <c r="B1053" s="92">
        <f t="shared" ref="B1053:C1053" si="1373">B1045</f>
        <v>0</v>
      </c>
      <c r="C1053" s="92">
        <f t="shared" si="1373"/>
        <v>0</v>
      </c>
      <c r="D1053" s="92">
        <f t="shared" ref="D1053:E1053" si="1374">D1045</f>
        <v>0</v>
      </c>
      <c r="E1053" s="92">
        <f t="shared" si="1374"/>
        <v>0</v>
      </c>
      <c r="F1053" s="92">
        <f t="shared" ref="F1053:G1053" si="1375">F1045</f>
        <v>0</v>
      </c>
      <c r="G1053" s="92">
        <f t="shared" si="1375"/>
        <v>0</v>
      </c>
      <c r="H1053" s="92">
        <f t="shared" ref="H1053:I1053" si="1376">H1045</f>
        <v>0</v>
      </c>
      <c r="I1053" s="92">
        <f t="shared" si="1376"/>
        <v>0</v>
      </c>
      <c r="J1053" s="92">
        <f t="shared" ref="J1053:K1053" si="1377">J1045</f>
        <v>0</v>
      </c>
      <c r="K1053" s="92">
        <f t="shared" si="1377"/>
        <v>0</v>
      </c>
      <c r="L1053" s="92">
        <f t="shared" ref="L1053:M1053" si="1378">L1045</f>
        <v>0</v>
      </c>
      <c r="M1053" s="92">
        <f t="shared" si="1378"/>
        <v>0</v>
      </c>
      <c r="N1053" s="150">
        <f>SUM(B1053:M1053)</f>
        <v>0</v>
      </c>
      <c r="O1053" s="22">
        <f>IF(N1053=0,0,AVERAGE(B1053:M1053))</f>
        <v>0</v>
      </c>
      <c r="P1053" s="8"/>
      <c r="Q1053" s="8"/>
      <c r="R1053" s="8"/>
      <c r="S1053" s="8"/>
      <c r="T1053" s="8"/>
      <c r="U1053" s="8"/>
      <c r="V1053" s="8"/>
      <c r="W1053" s="8"/>
      <c r="X1053" s="8"/>
      <c r="Y1053" s="8"/>
      <c r="Z1053" s="8"/>
    </row>
    <row r="1054" spans="1:26" s="9" customFormat="1" ht="15.75">
      <c r="A1054" s="91" t="s">
        <v>154</v>
      </c>
      <c r="B1054" s="92">
        <f t="shared" ref="B1054:C1054" si="1379">B1050</f>
        <v>5</v>
      </c>
      <c r="C1054" s="92">
        <f t="shared" si="1379"/>
        <v>5</v>
      </c>
      <c r="D1054" s="92">
        <f t="shared" ref="D1054:E1054" si="1380">D1050</f>
        <v>4</v>
      </c>
      <c r="E1054" s="92">
        <f t="shared" si="1380"/>
        <v>0</v>
      </c>
      <c r="F1054" s="92">
        <f t="shared" ref="F1054:G1054" si="1381">F1050</f>
        <v>0</v>
      </c>
      <c r="G1054" s="92">
        <f t="shared" si="1381"/>
        <v>2</v>
      </c>
      <c r="H1054" s="92">
        <f t="shared" ref="H1054:I1054" si="1382">H1050</f>
        <v>3</v>
      </c>
      <c r="I1054" s="92">
        <f t="shared" si="1382"/>
        <v>2</v>
      </c>
      <c r="J1054" s="92">
        <f t="shared" ref="J1054:K1054" si="1383">J1050</f>
        <v>2</v>
      </c>
      <c r="K1054" s="92">
        <f t="shared" si="1383"/>
        <v>0</v>
      </c>
      <c r="L1054" s="92">
        <f t="shared" ref="L1054:M1054" si="1384">L1050</f>
        <v>0</v>
      </c>
      <c r="M1054" s="92">
        <f t="shared" si="1384"/>
        <v>0</v>
      </c>
      <c r="N1054" s="150">
        <f>SUM(B1054:M1054)</f>
        <v>23</v>
      </c>
      <c r="O1054" s="22">
        <f>IF(N1054=0,0,AVERAGE(B1054:M1054))</f>
        <v>1.9166666666666667</v>
      </c>
      <c r="P1054" s="8"/>
      <c r="Q1054" s="8"/>
      <c r="R1054" s="8"/>
      <c r="S1054" s="8"/>
      <c r="T1054" s="8"/>
      <c r="U1054" s="8"/>
      <c r="V1054" s="8"/>
      <c r="W1054" s="8"/>
      <c r="X1054" s="8"/>
      <c r="Y1054" s="8"/>
      <c r="Z1054" s="8"/>
    </row>
    <row r="1055" spans="1:26" s="9" customFormat="1" ht="15.75">
      <c r="A1055" s="381" t="s">
        <v>155</v>
      </c>
      <c r="B1055" s="372">
        <f t="shared" ref="B1055:C1055" si="1385">SUM(B1053:B1054)</f>
        <v>5</v>
      </c>
      <c r="C1055" s="372">
        <f t="shared" si="1385"/>
        <v>5</v>
      </c>
      <c r="D1055" s="372">
        <f t="shared" ref="D1055:E1055" si="1386">SUM(D1053:D1054)</f>
        <v>4</v>
      </c>
      <c r="E1055" s="372">
        <f t="shared" si="1386"/>
        <v>0</v>
      </c>
      <c r="F1055" s="372">
        <f t="shared" ref="F1055:G1055" si="1387">SUM(F1053:F1054)</f>
        <v>0</v>
      </c>
      <c r="G1055" s="372">
        <f t="shared" si="1387"/>
        <v>2</v>
      </c>
      <c r="H1055" s="372">
        <f t="shared" ref="H1055:I1055" si="1388">SUM(H1053:H1054)</f>
        <v>3</v>
      </c>
      <c r="I1055" s="372">
        <f t="shared" si="1388"/>
        <v>2</v>
      </c>
      <c r="J1055" s="372">
        <f t="shared" ref="J1055:K1055" si="1389">SUM(J1053:J1054)</f>
        <v>2</v>
      </c>
      <c r="K1055" s="372">
        <f t="shared" si="1389"/>
        <v>0</v>
      </c>
      <c r="L1055" s="372">
        <f t="shared" ref="L1055:M1055" si="1390">SUM(L1053:L1054)</f>
        <v>0</v>
      </c>
      <c r="M1055" s="372">
        <f t="shared" si="1390"/>
        <v>0</v>
      </c>
      <c r="N1055" s="373">
        <f>SUM(N1053:N1054)</f>
        <v>23</v>
      </c>
      <c r="O1055" s="374">
        <f>SUM(O1053:O1054)</f>
        <v>1.9166666666666667</v>
      </c>
      <c r="P1055" s="8"/>
      <c r="Q1055" s="8"/>
      <c r="R1055" s="8"/>
      <c r="S1055" s="8"/>
      <c r="T1055" s="8"/>
      <c r="U1055" s="8"/>
      <c r="V1055" s="8"/>
      <c r="W1055" s="8"/>
      <c r="X1055" s="8"/>
      <c r="Y1055" s="8"/>
      <c r="Z1055" s="8"/>
    </row>
    <row r="1056" spans="1:26" s="9" customFormat="1" ht="15.75">
      <c r="A1056" s="88"/>
      <c r="B1056" s="89"/>
      <c r="C1056" s="89"/>
      <c r="D1056" s="89"/>
      <c r="E1056" s="89"/>
      <c r="F1056" s="89"/>
      <c r="G1056" s="89"/>
      <c r="H1056" s="89"/>
      <c r="I1056" s="89"/>
      <c r="J1056" s="89"/>
      <c r="K1056" s="89"/>
      <c r="L1056" s="89"/>
      <c r="M1056" s="89"/>
      <c r="N1056" s="167"/>
      <c r="O1056" s="90"/>
    </row>
    <row r="1057" spans="1:26" s="9" customFormat="1" ht="15.75">
      <c r="A1057" s="17" t="s">
        <v>612</v>
      </c>
      <c r="B1057" s="18"/>
      <c r="C1057" s="18"/>
      <c r="D1057" s="18"/>
      <c r="E1057" s="18"/>
      <c r="F1057" s="18"/>
      <c r="G1057" s="18"/>
      <c r="H1057" s="18"/>
      <c r="I1057" s="18"/>
      <c r="J1057" s="18"/>
      <c r="K1057" s="18"/>
      <c r="L1057" s="18"/>
      <c r="M1057" s="18"/>
      <c r="N1057" s="149"/>
      <c r="O1057" s="19"/>
    </row>
    <row r="1058" spans="1:26" s="9" customFormat="1" ht="15.75">
      <c r="A1058" s="66" t="s">
        <v>391</v>
      </c>
      <c r="B1058" s="18"/>
      <c r="C1058" s="18"/>
      <c r="D1058" s="18"/>
      <c r="E1058" s="18"/>
      <c r="F1058" s="18"/>
      <c r="G1058" s="18"/>
      <c r="H1058" s="18"/>
      <c r="I1058" s="18"/>
      <c r="J1058" s="18"/>
      <c r="K1058" s="18"/>
      <c r="L1058" s="18"/>
      <c r="M1058" s="18"/>
      <c r="N1058" s="149"/>
      <c r="O1058" s="19"/>
    </row>
    <row r="1059" spans="1:26" s="9" customFormat="1" ht="15.75">
      <c r="A1059" s="40" t="s">
        <v>18</v>
      </c>
      <c r="B1059" s="21">
        <v>0</v>
      </c>
      <c r="C1059" s="21">
        <v>0</v>
      </c>
      <c r="D1059" s="21">
        <v>0</v>
      </c>
      <c r="E1059" s="21">
        <v>0</v>
      </c>
      <c r="F1059" s="21">
        <v>0</v>
      </c>
      <c r="G1059" s="21">
        <v>0</v>
      </c>
      <c r="H1059" s="21">
        <v>0</v>
      </c>
      <c r="I1059" s="21">
        <v>0</v>
      </c>
      <c r="J1059" s="87">
        <v>0</v>
      </c>
      <c r="K1059" s="21">
        <v>0</v>
      </c>
      <c r="L1059" s="21">
        <v>0</v>
      </c>
      <c r="M1059" s="21">
        <v>0</v>
      </c>
      <c r="N1059" s="150">
        <f>SUM(B1059:M1059)</f>
        <v>0</v>
      </c>
      <c r="O1059" s="22">
        <f>IF(N1059=0,0,AVERAGE(B1059:M1059))</f>
        <v>0</v>
      </c>
    </row>
    <row r="1060" spans="1:26" s="9" customFormat="1" ht="15.75">
      <c r="A1060" s="40" t="s">
        <v>19</v>
      </c>
      <c r="B1060" s="21">
        <v>0</v>
      </c>
      <c r="C1060" s="21">
        <v>0</v>
      </c>
      <c r="D1060" s="21">
        <v>0</v>
      </c>
      <c r="E1060" s="21">
        <v>0</v>
      </c>
      <c r="F1060" s="21">
        <v>0</v>
      </c>
      <c r="G1060" s="21">
        <v>0</v>
      </c>
      <c r="H1060" s="21">
        <v>0</v>
      </c>
      <c r="I1060" s="21">
        <v>0</v>
      </c>
      <c r="J1060" s="87">
        <v>0</v>
      </c>
      <c r="K1060" s="21">
        <v>0</v>
      </c>
      <c r="L1060" s="21">
        <v>0</v>
      </c>
      <c r="M1060" s="21">
        <v>0</v>
      </c>
      <c r="N1060" s="150">
        <f>SUM(B1060:M1060)</f>
        <v>0</v>
      </c>
      <c r="O1060" s="22">
        <f>IF(N1060=0,0,AVERAGE(B1060:M1060))</f>
        <v>0</v>
      </c>
    </row>
    <row r="1061" spans="1:26" s="9" customFormat="1" ht="15.75">
      <c r="A1061" s="40" t="s">
        <v>20</v>
      </c>
      <c r="B1061" s="21">
        <v>0</v>
      </c>
      <c r="C1061" s="21">
        <v>0</v>
      </c>
      <c r="D1061" s="21">
        <v>0</v>
      </c>
      <c r="E1061" s="21">
        <v>0</v>
      </c>
      <c r="F1061" s="21">
        <v>0</v>
      </c>
      <c r="G1061" s="21">
        <v>0</v>
      </c>
      <c r="H1061" s="21">
        <v>0</v>
      </c>
      <c r="I1061" s="21">
        <v>0</v>
      </c>
      <c r="J1061" s="87">
        <v>0</v>
      </c>
      <c r="K1061" s="21">
        <v>0</v>
      </c>
      <c r="L1061" s="21">
        <v>0</v>
      </c>
      <c r="M1061" s="21">
        <v>0</v>
      </c>
      <c r="N1061" s="150">
        <f>SUM(B1061:M1061)</f>
        <v>0</v>
      </c>
      <c r="O1061" s="22">
        <f>IF(N1061=0,0,AVERAGE(B1061:M1061))</f>
        <v>0</v>
      </c>
    </row>
    <row r="1062" spans="1:26" s="9" customFormat="1" ht="15.75">
      <c r="A1062" s="62" t="s">
        <v>21</v>
      </c>
      <c r="B1062" s="24">
        <f t="shared" ref="B1062:C1062" si="1391">SUM(B1059:B1061)</f>
        <v>0</v>
      </c>
      <c r="C1062" s="24">
        <f t="shared" si="1391"/>
        <v>0</v>
      </c>
      <c r="D1062" s="24">
        <f t="shared" ref="D1062:E1062" si="1392">SUM(D1059:D1061)</f>
        <v>0</v>
      </c>
      <c r="E1062" s="24">
        <f t="shared" si="1392"/>
        <v>0</v>
      </c>
      <c r="F1062" s="24">
        <f t="shared" ref="F1062:G1062" si="1393">SUM(F1059:F1061)</f>
        <v>0</v>
      </c>
      <c r="G1062" s="24">
        <f t="shared" si="1393"/>
        <v>0</v>
      </c>
      <c r="H1062" s="24">
        <f t="shared" ref="H1062:I1062" si="1394">SUM(H1059:H1061)</f>
        <v>0</v>
      </c>
      <c r="I1062" s="24">
        <f t="shared" si="1394"/>
        <v>0</v>
      </c>
      <c r="J1062" s="24">
        <f t="shared" ref="J1062:K1062" si="1395">SUM(J1059:J1061)</f>
        <v>0</v>
      </c>
      <c r="K1062" s="24">
        <f t="shared" si="1395"/>
        <v>0</v>
      </c>
      <c r="L1062" s="24">
        <f t="shared" ref="L1062:M1062" si="1396">SUM(L1059:L1061)</f>
        <v>0</v>
      </c>
      <c r="M1062" s="24">
        <f t="shared" si="1396"/>
        <v>0</v>
      </c>
      <c r="N1062" s="144">
        <f>SUM(N1059:N1061)</f>
        <v>0</v>
      </c>
      <c r="O1062" s="25">
        <f>SUM(O1059:O1061)</f>
        <v>0</v>
      </c>
    </row>
    <row r="1063" spans="1:26" s="9" customFormat="1" ht="15.75">
      <c r="A1063" s="62" t="s">
        <v>112</v>
      </c>
      <c r="B1063" s="24" t="s">
        <v>44</v>
      </c>
      <c r="C1063" s="24" t="s">
        <v>44</v>
      </c>
      <c r="D1063" s="24" t="s">
        <v>44</v>
      </c>
      <c r="E1063" s="24" t="s">
        <v>44</v>
      </c>
      <c r="F1063" s="24" t="s">
        <v>44</v>
      </c>
      <c r="G1063" s="24" t="s">
        <v>44</v>
      </c>
      <c r="H1063" s="24" t="s">
        <v>44</v>
      </c>
      <c r="I1063" s="24" t="s">
        <v>44</v>
      </c>
      <c r="J1063" s="24" t="s">
        <v>44</v>
      </c>
      <c r="K1063" s="24" t="s">
        <v>44</v>
      </c>
      <c r="L1063" s="24" t="s">
        <v>44</v>
      </c>
      <c r="M1063" s="24" t="s">
        <v>44</v>
      </c>
      <c r="N1063" s="144">
        <f>SUM(B1063:M1063)</f>
        <v>0</v>
      </c>
      <c r="O1063" s="25">
        <f>IF(N1063=0,0,AVERAGE(B1063:M1063))</f>
        <v>0</v>
      </c>
    </row>
    <row r="1064" spans="1:26" s="9" customFormat="1" ht="15.75">
      <c r="A1064" s="101"/>
      <c r="B1064" s="27"/>
      <c r="C1064" s="27"/>
      <c r="D1064" s="27"/>
      <c r="E1064" s="27"/>
      <c r="F1064" s="27"/>
      <c r="G1064" s="27"/>
      <c r="H1064" s="27"/>
      <c r="I1064" s="27"/>
      <c r="J1064" s="27"/>
      <c r="K1064" s="27"/>
      <c r="L1064" s="27"/>
      <c r="M1064" s="27"/>
      <c r="N1064" s="151"/>
      <c r="O1064" s="102"/>
    </row>
    <row r="1065" spans="1:26" s="9" customFormat="1" ht="15.75">
      <c r="A1065" s="66" t="s">
        <v>392</v>
      </c>
      <c r="B1065" s="18"/>
      <c r="C1065" s="18"/>
      <c r="D1065" s="18"/>
      <c r="E1065" s="18"/>
      <c r="F1065" s="18"/>
      <c r="G1065" s="18"/>
      <c r="H1065" s="18"/>
      <c r="I1065" s="18"/>
      <c r="J1065" s="18"/>
      <c r="K1065" s="18"/>
      <c r="L1065" s="18"/>
      <c r="M1065" s="18"/>
      <c r="N1065" s="149"/>
      <c r="O1065" s="19"/>
    </row>
    <row r="1066" spans="1:26" s="9" customFormat="1" ht="15.75">
      <c r="A1066" s="104" t="s">
        <v>114</v>
      </c>
      <c r="B1066" s="105">
        <v>17</v>
      </c>
      <c r="C1066" s="105">
        <v>30</v>
      </c>
      <c r="D1066" s="105">
        <v>25</v>
      </c>
      <c r="E1066" s="105">
        <v>12</v>
      </c>
      <c r="F1066" s="105">
        <v>9</v>
      </c>
      <c r="G1066" s="105">
        <v>25</v>
      </c>
      <c r="H1066" s="105">
        <v>0</v>
      </c>
      <c r="I1066" s="105">
        <v>30</v>
      </c>
      <c r="J1066" s="105">
        <v>35</v>
      </c>
      <c r="K1066" s="105">
        <v>11</v>
      </c>
      <c r="L1066" s="105">
        <v>62</v>
      </c>
      <c r="M1066" s="105">
        <v>23</v>
      </c>
      <c r="N1066" s="150">
        <f>SUM(B1066:M1066)</f>
        <v>279</v>
      </c>
      <c r="O1066" s="22">
        <f>IF(N1066=0,0,AVERAGE(B1066:M1066))</f>
        <v>23.25</v>
      </c>
      <c r="P1066" s="8"/>
      <c r="Q1066" s="8"/>
      <c r="R1066" s="8"/>
      <c r="S1066" s="8"/>
      <c r="T1066" s="8"/>
      <c r="U1066" s="8"/>
      <c r="V1066" s="8"/>
      <c r="W1066" s="8"/>
      <c r="X1066" s="8"/>
      <c r="Y1066" s="8"/>
      <c r="Z1066" s="8"/>
    </row>
    <row r="1067" spans="1:26" s="9" customFormat="1" ht="15.75">
      <c r="A1067" s="62" t="s">
        <v>21</v>
      </c>
      <c r="B1067" s="24">
        <f t="shared" ref="B1067:C1067" si="1397">SUM(B1066)</f>
        <v>17</v>
      </c>
      <c r="C1067" s="24">
        <f t="shared" si="1397"/>
        <v>30</v>
      </c>
      <c r="D1067" s="24">
        <f t="shared" ref="D1067:E1067" si="1398">SUM(D1066)</f>
        <v>25</v>
      </c>
      <c r="E1067" s="24">
        <f t="shared" si="1398"/>
        <v>12</v>
      </c>
      <c r="F1067" s="24">
        <f t="shared" ref="F1067:G1067" si="1399">SUM(F1066)</f>
        <v>9</v>
      </c>
      <c r="G1067" s="24">
        <f t="shared" si="1399"/>
        <v>25</v>
      </c>
      <c r="H1067" s="24">
        <f t="shared" ref="H1067:I1067" si="1400">SUM(H1066)</f>
        <v>0</v>
      </c>
      <c r="I1067" s="24">
        <f t="shared" si="1400"/>
        <v>30</v>
      </c>
      <c r="J1067" s="24">
        <f t="shared" ref="J1067:K1067" si="1401">SUM(J1066)</f>
        <v>35</v>
      </c>
      <c r="K1067" s="24">
        <f t="shared" si="1401"/>
        <v>11</v>
      </c>
      <c r="L1067" s="24">
        <f t="shared" ref="L1067:M1067" si="1402">SUM(L1066)</f>
        <v>62</v>
      </c>
      <c r="M1067" s="24">
        <f t="shared" si="1402"/>
        <v>23</v>
      </c>
      <c r="N1067" s="144">
        <f>SUM(N1066)</f>
        <v>279</v>
      </c>
      <c r="O1067" s="25">
        <f>SUM(O1066)</f>
        <v>23.25</v>
      </c>
      <c r="P1067" s="8"/>
      <c r="Q1067" s="8"/>
      <c r="R1067" s="8"/>
      <c r="S1067" s="8"/>
      <c r="T1067" s="8"/>
      <c r="U1067" s="8"/>
      <c r="V1067" s="8"/>
      <c r="W1067" s="8"/>
      <c r="X1067" s="8"/>
      <c r="Y1067" s="8"/>
      <c r="Z1067" s="8"/>
    </row>
    <row r="1068" spans="1:26" s="9" customFormat="1" ht="15.75">
      <c r="A1068" s="62" t="s">
        <v>112</v>
      </c>
      <c r="B1068" s="25">
        <f t="shared" ref="B1068:J1068" si="1403">IF(B1067=0,"",B1067/B$1870)</f>
        <v>0.54838709677419351</v>
      </c>
      <c r="C1068" s="25">
        <f t="shared" si="1403"/>
        <v>1.0714285714285714</v>
      </c>
      <c r="D1068" s="25">
        <f t="shared" si="1403"/>
        <v>0.80645161290322576</v>
      </c>
      <c r="E1068" s="25">
        <f t="shared" si="1403"/>
        <v>0.4</v>
      </c>
      <c r="F1068" s="25">
        <f t="shared" si="1403"/>
        <v>0.29032258064516131</v>
      </c>
      <c r="G1068" s="25">
        <f t="shared" si="1403"/>
        <v>0.83333333333333337</v>
      </c>
      <c r="H1068" s="25" t="str">
        <f t="shared" si="1403"/>
        <v/>
      </c>
      <c r="I1068" s="25">
        <f t="shared" si="1403"/>
        <v>0.967741935483871</v>
      </c>
      <c r="J1068" s="25">
        <f t="shared" si="1403"/>
        <v>1.1666666666666667</v>
      </c>
      <c r="K1068" s="25">
        <f t="shared" ref="K1068:L1068" si="1404">IF(K1067=0,"",K1067/K$1870)</f>
        <v>0.35483870967741937</v>
      </c>
      <c r="L1068" s="25">
        <f t="shared" si="1404"/>
        <v>2.0666666666666669</v>
      </c>
      <c r="M1068" s="25">
        <f t="shared" ref="M1068" si="1405">IF(M1067=0,"",M1067/M$1870)</f>
        <v>0.74193548387096775</v>
      </c>
      <c r="N1068" s="144">
        <f>SUM(B1068:M1068)</f>
        <v>9.2477726574500778</v>
      </c>
      <c r="O1068" s="25">
        <f>IF(N1068=0,0,AVERAGE(B1068:M1068))</f>
        <v>0.84070660522273433</v>
      </c>
    </row>
    <row r="1069" spans="1:26" s="9" customFormat="1" ht="15.75">
      <c r="A1069" s="101"/>
      <c r="B1069" s="27"/>
      <c r="C1069" s="27"/>
      <c r="D1069" s="27"/>
      <c r="E1069" s="27"/>
      <c r="F1069" s="27"/>
      <c r="G1069" s="27"/>
      <c r="H1069" s="27"/>
      <c r="I1069" s="27"/>
      <c r="J1069" s="27"/>
      <c r="K1069" s="27"/>
      <c r="L1069" s="27"/>
      <c r="M1069" s="27"/>
      <c r="N1069" s="151"/>
      <c r="O1069" s="57"/>
    </row>
    <row r="1070" spans="1:26" s="9" customFormat="1" ht="15.75">
      <c r="A1070" s="91" t="s">
        <v>153</v>
      </c>
      <c r="B1070" s="92">
        <f t="shared" ref="B1070:C1070" si="1406">B1062</f>
        <v>0</v>
      </c>
      <c r="C1070" s="92">
        <f t="shared" si="1406"/>
        <v>0</v>
      </c>
      <c r="D1070" s="92">
        <f t="shared" ref="D1070:E1070" si="1407">D1062</f>
        <v>0</v>
      </c>
      <c r="E1070" s="92">
        <f t="shared" si="1407"/>
        <v>0</v>
      </c>
      <c r="F1070" s="92">
        <f t="shared" ref="F1070:G1070" si="1408">F1062</f>
        <v>0</v>
      </c>
      <c r="G1070" s="92">
        <f t="shared" si="1408"/>
        <v>0</v>
      </c>
      <c r="H1070" s="92">
        <f t="shared" ref="H1070:I1070" si="1409">H1062</f>
        <v>0</v>
      </c>
      <c r="I1070" s="92">
        <f t="shared" si="1409"/>
        <v>0</v>
      </c>
      <c r="J1070" s="92">
        <f t="shared" ref="J1070:K1070" si="1410">J1062</f>
        <v>0</v>
      </c>
      <c r="K1070" s="92">
        <f t="shared" si="1410"/>
        <v>0</v>
      </c>
      <c r="L1070" s="92">
        <f t="shared" ref="L1070:M1070" si="1411">L1062</f>
        <v>0</v>
      </c>
      <c r="M1070" s="92">
        <f t="shared" si="1411"/>
        <v>0</v>
      </c>
      <c r="N1070" s="150">
        <f>SUM(B1070:M1070)</f>
        <v>0</v>
      </c>
      <c r="O1070" s="22">
        <f>IF(N1070=0,0,AVERAGE(B1070:M1070))</f>
        <v>0</v>
      </c>
    </row>
    <row r="1071" spans="1:26" s="9" customFormat="1" ht="15.75">
      <c r="A1071" s="91" t="s">
        <v>154</v>
      </c>
      <c r="B1071" s="92">
        <f t="shared" ref="B1071:C1071" si="1412">B1067</f>
        <v>17</v>
      </c>
      <c r="C1071" s="92">
        <f t="shared" si="1412"/>
        <v>30</v>
      </c>
      <c r="D1071" s="92">
        <f t="shared" ref="D1071:E1071" si="1413">D1067</f>
        <v>25</v>
      </c>
      <c r="E1071" s="92">
        <f t="shared" si="1413"/>
        <v>12</v>
      </c>
      <c r="F1071" s="92">
        <f t="shared" ref="F1071:G1071" si="1414">F1067</f>
        <v>9</v>
      </c>
      <c r="G1071" s="92">
        <f t="shared" si="1414"/>
        <v>25</v>
      </c>
      <c r="H1071" s="92">
        <f t="shared" ref="H1071:I1071" si="1415">H1067</f>
        <v>0</v>
      </c>
      <c r="I1071" s="92">
        <f t="shared" si="1415"/>
        <v>30</v>
      </c>
      <c r="J1071" s="92">
        <f t="shared" ref="J1071:K1071" si="1416">J1067</f>
        <v>35</v>
      </c>
      <c r="K1071" s="92">
        <f t="shared" si="1416"/>
        <v>11</v>
      </c>
      <c r="L1071" s="92">
        <f t="shared" ref="L1071:M1071" si="1417">L1067</f>
        <v>62</v>
      </c>
      <c r="M1071" s="92">
        <f t="shared" si="1417"/>
        <v>23</v>
      </c>
      <c r="N1071" s="150">
        <f>SUM(B1071:M1071)</f>
        <v>279</v>
      </c>
      <c r="O1071" s="22">
        <f>IF(N1071=0,0,AVERAGE(B1071:M1071))</f>
        <v>23.25</v>
      </c>
    </row>
    <row r="1072" spans="1:26" s="9" customFormat="1" ht="15.75">
      <c r="A1072" s="381" t="s">
        <v>155</v>
      </c>
      <c r="B1072" s="372">
        <f t="shared" ref="B1072:C1072" si="1418">SUM(B1070:B1071)</f>
        <v>17</v>
      </c>
      <c r="C1072" s="372">
        <f t="shared" si="1418"/>
        <v>30</v>
      </c>
      <c r="D1072" s="372">
        <f t="shared" ref="D1072:E1072" si="1419">SUM(D1070:D1071)</f>
        <v>25</v>
      </c>
      <c r="E1072" s="372">
        <f t="shared" si="1419"/>
        <v>12</v>
      </c>
      <c r="F1072" s="372">
        <f t="shared" ref="F1072:G1072" si="1420">SUM(F1070:F1071)</f>
        <v>9</v>
      </c>
      <c r="G1072" s="372">
        <f t="shared" si="1420"/>
        <v>25</v>
      </c>
      <c r="H1072" s="372">
        <f t="shared" ref="H1072:I1072" si="1421">SUM(H1070:H1071)</f>
        <v>0</v>
      </c>
      <c r="I1072" s="372">
        <f t="shared" si="1421"/>
        <v>30</v>
      </c>
      <c r="J1072" s="372">
        <f t="shared" ref="J1072:K1072" si="1422">SUM(J1070:J1071)</f>
        <v>35</v>
      </c>
      <c r="K1072" s="372">
        <f t="shared" si="1422"/>
        <v>11</v>
      </c>
      <c r="L1072" s="372">
        <f t="shared" ref="L1072:M1072" si="1423">SUM(L1070:L1071)</f>
        <v>62</v>
      </c>
      <c r="M1072" s="372">
        <f t="shared" si="1423"/>
        <v>23</v>
      </c>
      <c r="N1072" s="373">
        <f>SUM(N1070:N1071)</f>
        <v>279</v>
      </c>
      <c r="O1072" s="374">
        <f>SUM(O1070:O1071)</f>
        <v>23.25</v>
      </c>
      <c r="P1072" s="8"/>
      <c r="Q1072" s="8"/>
      <c r="R1072" s="8"/>
      <c r="S1072" s="8"/>
      <c r="T1072" s="8"/>
      <c r="U1072" s="8"/>
      <c r="V1072" s="8"/>
      <c r="W1072" s="8"/>
      <c r="X1072" s="8"/>
      <c r="Y1072" s="8"/>
      <c r="Z1072" s="8"/>
    </row>
    <row r="1073" spans="1:26" s="9" customFormat="1" ht="15.75">
      <c r="A1073" s="88"/>
      <c r="B1073" s="89"/>
      <c r="C1073" s="89"/>
      <c r="D1073" s="89"/>
      <c r="E1073" s="89"/>
      <c r="F1073" s="89"/>
      <c r="G1073" s="89"/>
      <c r="H1073" s="89"/>
      <c r="I1073" s="89"/>
      <c r="J1073" s="89"/>
      <c r="K1073" s="89"/>
      <c r="L1073" s="89"/>
      <c r="M1073" s="89"/>
      <c r="N1073" s="167"/>
      <c r="O1073" s="90"/>
      <c r="P1073" s="8"/>
      <c r="Q1073" s="8"/>
      <c r="R1073" s="8"/>
      <c r="S1073" s="8"/>
      <c r="T1073" s="8"/>
      <c r="U1073" s="8"/>
      <c r="V1073" s="8"/>
      <c r="W1073" s="8"/>
      <c r="X1073" s="8"/>
      <c r="Y1073" s="8"/>
      <c r="Z1073" s="8"/>
    </row>
    <row r="1074" spans="1:26" s="9" customFormat="1" ht="15.75">
      <c r="A1074" s="17" t="s">
        <v>613</v>
      </c>
      <c r="B1074" s="18"/>
      <c r="C1074" s="18"/>
      <c r="D1074" s="18"/>
      <c r="E1074" s="18"/>
      <c r="F1074" s="18"/>
      <c r="G1074" s="18"/>
      <c r="H1074" s="18"/>
      <c r="I1074" s="18"/>
      <c r="J1074" s="18"/>
      <c r="K1074" s="18"/>
      <c r="L1074" s="18"/>
      <c r="M1074" s="18"/>
      <c r="N1074" s="149"/>
      <c r="O1074" s="19"/>
      <c r="P1074" s="8"/>
      <c r="Q1074" s="8"/>
      <c r="R1074" s="8"/>
      <c r="S1074" s="8"/>
      <c r="T1074" s="8"/>
      <c r="U1074" s="8"/>
      <c r="V1074" s="8"/>
      <c r="W1074" s="8"/>
      <c r="X1074" s="8"/>
      <c r="Y1074" s="8"/>
      <c r="Z1074" s="8"/>
    </row>
    <row r="1075" spans="1:26" s="9" customFormat="1" ht="15.75">
      <c r="A1075" s="66" t="s">
        <v>598</v>
      </c>
      <c r="B1075" s="18"/>
      <c r="C1075" s="18"/>
      <c r="D1075" s="18"/>
      <c r="E1075" s="18"/>
      <c r="F1075" s="18"/>
      <c r="G1075" s="18"/>
      <c r="H1075" s="18"/>
      <c r="I1075" s="18"/>
      <c r="J1075" s="18"/>
      <c r="K1075" s="18"/>
      <c r="L1075" s="18"/>
      <c r="M1075" s="18"/>
      <c r="N1075" s="149"/>
      <c r="O1075" s="19"/>
      <c r="P1075" s="8"/>
      <c r="Q1075" s="8"/>
      <c r="R1075" s="8"/>
      <c r="S1075" s="8"/>
      <c r="T1075" s="8"/>
      <c r="U1075" s="8"/>
      <c r="V1075" s="8"/>
      <c r="W1075" s="8"/>
      <c r="X1075" s="8"/>
      <c r="Y1075" s="8"/>
      <c r="Z1075" s="8"/>
    </row>
    <row r="1076" spans="1:26" s="9" customFormat="1" ht="15.75">
      <c r="A1076" s="40" t="s">
        <v>18</v>
      </c>
      <c r="B1076" s="21">
        <v>0</v>
      </c>
      <c r="C1076" s="21">
        <v>0</v>
      </c>
      <c r="D1076" s="21">
        <v>0</v>
      </c>
      <c r="E1076" s="21">
        <v>0</v>
      </c>
      <c r="F1076" s="21">
        <v>0</v>
      </c>
      <c r="G1076" s="21">
        <v>0</v>
      </c>
      <c r="H1076" s="21">
        <v>0</v>
      </c>
      <c r="I1076" s="21">
        <v>0</v>
      </c>
      <c r="J1076" s="87">
        <v>0</v>
      </c>
      <c r="K1076" s="87">
        <v>0</v>
      </c>
      <c r="L1076" s="87">
        <v>0</v>
      </c>
      <c r="M1076" s="87">
        <v>0</v>
      </c>
      <c r="N1076" s="150">
        <f>SUM(B1076:M1076)</f>
        <v>0</v>
      </c>
      <c r="O1076" s="22">
        <f>IF(N1076=0,0,AVERAGE(B1076:M1076))</f>
        <v>0</v>
      </c>
      <c r="P1076" s="8"/>
      <c r="Q1076" s="8"/>
      <c r="R1076" s="8"/>
      <c r="S1076" s="8"/>
      <c r="T1076" s="8"/>
      <c r="U1076" s="8"/>
      <c r="V1076" s="8"/>
      <c r="W1076" s="8"/>
      <c r="X1076" s="8"/>
      <c r="Y1076" s="8"/>
      <c r="Z1076" s="8"/>
    </row>
    <row r="1077" spans="1:26" s="9" customFormat="1" ht="15.75">
      <c r="A1077" s="40" t="s">
        <v>19</v>
      </c>
      <c r="B1077" s="21">
        <v>0</v>
      </c>
      <c r="C1077" s="21">
        <v>0</v>
      </c>
      <c r="D1077" s="21">
        <v>0</v>
      </c>
      <c r="E1077" s="21">
        <v>0</v>
      </c>
      <c r="F1077" s="21">
        <v>0</v>
      </c>
      <c r="G1077" s="21">
        <v>0</v>
      </c>
      <c r="H1077" s="21">
        <v>0</v>
      </c>
      <c r="I1077" s="21">
        <v>0</v>
      </c>
      <c r="J1077" s="87">
        <v>0</v>
      </c>
      <c r="K1077" s="87">
        <v>0</v>
      </c>
      <c r="L1077" s="87">
        <v>0</v>
      </c>
      <c r="M1077" s="87">
        <v>0</v>
      </c>
      <c r="N1077" s="150">
        <f>SUM(B1077:M1077)</f>
        <v>0</v>
      </c>
      <c r="O1077" s="22">
        <f>IF(N1077=0,0,AVERAGE(B1077:M1077))</f>
        <v>0</v>
      </c>
      <c r="P1077" s="8"/>
      <c r="Q1077" s="8"/>
      <c r="R1077" s="8"/>
      <c r="S1077" s="8"/>
      <c r="T1077" s="8"/>
      <c r="U1077" s="8"/>
      <c r="V1077" s="8"/>
      <c r="W1077" s="8"/>
      <c r="X1077" s="8"/>
      <c r="Y1077" s="8"/>
      <c r="Z1077" s="8"/>
    </row>
    <row r="1078" spans="1:26" s="9" customFormat="1" ht="15.75">
      <c r="A1078" s="40" t="s">
        <v>20</v>
      </c>
      <c r="B1078" s="21">
        <v>0</v>
      </c>
      <c r="C1078" s="21">
        <v>0</v>
      </c>
      <c r="D1078" s="21">
        <v>0</v>
      </c>
      <c r="E1078" s="21">
        <v>0</v>
      </c>
      <c r="F1078" s="21">
        <v>0</v>
      </c>
      <c r="G1078" s="21">
        <v>0</v>
      </c>
      <c r="H1078" s="21">
        <v>0</v>
      </c>
      <c r="I1078" s="21">
        <v>0</v>
      </c>
      <c r="J1078" s="87">
        <v>0</v>
      </c>
      <c r="K1078" s="21">
        <v>0</v>
      </c>
      <c r="L1078" s="21">
        <v>0</v>
      </c>
      <c r="M1078" s="21">
        <v>0</v>
      </c>
      <c r="N1078" s="150">
        <f>SUM(B1078:M1078)</f>
        <v>0</v>
      </c>
      <c r="O1078" s="22">
        <f>IF(N1078=0,0,AVERAGE(B1078:M1078))</f>
        <v>0</v>
      </c>
      <c r="P1078" s="8"/>
      <c r="Q1078" s="8"/>
      <c r="R1078" s="8"/>
      <c r="S1078" s="8"/>
      <c r="T1078" s="8"/>
      <c r="U1078" s="8"/>
      <c r="V1078" s="8"/>
      <c r="W1078" s="8"/>
      <c r="X1078" s="8"/>
      <c r="Y1078" s="8"/>
      <c r="Z1078" s="8"/>
    </row>
    <row r="1079" spans="1:26" s="9" customFormat="1" ht="15.75">
      <c r="A1079" s="62" t="s">
        <v>21</v>
      </c>
      <c r="B1079" s="24">
        <f t="shared" ref="B1079:C1079" si="1424">SUM(B1076:B1078)</f>
        <v>0</v>
      </c>
      <c r="C1079" s="24">
        <f t="shared" si="1424"/>
        <v>0</v>
      </c>
      <c r="D1079" s="24">
        <f t="shared" ref="D1079:E1079" si="1425">SUM(D1076:D1078)</f>
        <v>0</v>
      </c>
      <c r="E1079" s="24">
        <f t="shared" si="1425"/>
        <v>0</v>
      </c>
      <c r="F1079" s="24">
        <f t="shared" ref="F1079:G1079" si="1426">SUM(F1076:F1078)</f>
        <v>0</v>
      </c>
      <c r="G1079" s="24">
        <f t="shared" si="1426"/>
        <v>0</v>
      </c>
      <c r="H1079" s="24">
        <f t="shared" ref="H1079:I1079" si="1427">SUM(H1076:H1078)</f>
        <v>0</v>
      </c>
      <c r="I1079" s="24">
        <f t="shared" si="1427"/>
        <v>0</v>
      </c>
      <c r="J1079" s="24">
        <f t="shared" ref="J1079:K1079" si="1428">SUM(J1076:J1078)</f>
        <v>0</v>
      </c>
      <c r="K1079" s="24">
        <f t="shared" si="1428"/>
        <v>0</v>
      </c>
      <c r="L1079" s="24">
        <f t="shared" ref="L1079:M1079" si="1429">SUM(L1076:L1078)</f>
        <v>0</v>
      </c>
      <c r="M1079" s="24">
        <f t="shared" si="1429"/>
        <v>0</v>
      </c>
      <c r="N1079" s="144">
        <f>SUM(N1076:N1078)</f>
        <v>0</v>
      </c>
      <c r="O1079" s="25">
        <f>SUM(O1076:O1078)</f>
        <v>0</v>
      </c>
      <c r="P1079" s="8"/>
      <c r="Q1079" s="8"/>
      <c r="R1079" s="8"/>
      <c r="S1079" s="8"/>
      <c r="T1079" s="8"/>
      <c r="U1079" s="8"/>
      <c r="V1079" s="8"/>
      <c r="W1079" s="8"/>
      <c r="X1079" s="8"/>
      <c r="Y1079" s="8"/>
      <c r="Z1079" s="8"/>
    </row>
    <row r="1080" spans="1:26" s="9" customFormat="1" ht="15.75">
      <c r="A1080" s="62" t="s">
        <v>112</v>
      </c>
      <c r="B1080" s="24" t="s">
        <v>44</v>
      </c>
      <c r="C1080" s="24" t="s">
        <v>44</v>
      </c>
      <c r="D1080" s="24" t="s">
        <v>44</v>
      </c>
      <c r="E1080" s="24" t="s">
        <v>44</v>
      </c>
      <c r="F1080" s="24" t="s">
        <v>44</v>
      </c>
      <c r="G1080" s="24" t="s">
        <v>44</v>
      </c>
      <c r="H1080" s="24" t="s">
        <v>44</v>
      </c>
      <c r="I1080" s="24" t="s">
        <v>44</v>
      </c>
      <c r="J1080" s="24" t="s">
        <v>44</v>
      </c>
      <c r="K1080" s="24" t="s">
        <v>44</v>
      </c>
      <c r="L1080" s="24" t="s">
        <v>44</v>
      </c>
      <c r="M1080" s="24" t="s">
        <v>44</v>
      </c>
      <c r="N1080" s="144">
        <f>SUM(B1080:M1080)</f>
        <v>0</v>
      </c>
      <c r="O1080" s="25">
        <f>IF(N1080=0,0,AVERAGE(B1080:M1080))</f>
        <v>0</v>
      </c>
      <c r="P1080" s="8"/>
      <c r="Q1080" s="8"/>
      <c r="R1080" s="8"/>
      <c r="S1080" s="8"/>
      <c r="T1080" s="8"/>
      <c r="U1080" s="8"/>
      <c r="V1080" s="8"/>
      <c r="W1080" s="8"/>
      <c r="X1080" s="8"/>
      <c r="Y1080" s="8"/>
      <c r="Z1080" s="8"/>
    </row>
    <row r="1081" spans="1:26" s="9" customFormat="1" ht="15.75">
      <c r="A1081" s="88"/>
      <c r="B1081" s="89"/>
      <c r="C1081" s="89"/>
      <c r="D1081" s="89"/>
      <c r="E1081" s="89"/>
      <c r="F1081" s="89"/>
      <c r="G1081" s="89"/>
      <c r="H1081" s="89"/>
      <c r="I1081" s="89"/>
      <c r="J1081" s="89"/>
      <c r="K1081" s="89"/>
      <c r="L1081" s="89"/>
      <c r="M1081" s="89"/>
      <c r="N1081" s="167"/>
      <c r="O1081" s="90"/>
      <c r="P1081" s="8"/>
      <c r="Q1081" s="8"/>
      <c r="R1081" s="8"/>
      <c r="S1081" s="8"/>
      <c r="T1081" s="8"/>
      <c r="U1081" s="8"/>
      <c r="V1081" s="8"/>
      <c r="W1081" s="8"/>
      <c r="X1081" s="8"/>
      <c r="Y1081" s="8"/>
      <c r="Z1081" s="8"/>
    </row>
    <row r="1082" spans="1:26" s="9" customFormat="1" ht="15.75">
      <c r="A1082" s="66" t="s">
        <v>599</v>
      </c>
      <c r="B1082" s="18"/>
      <c r="C1082" s="18"/>
      <c r="D1082" s="18"/>
      <c r="E1082" s="18"/>
      <c r="F1082" s="18"/>
      <c r="G1082" s="18"/>
      <c r="H1082" s="18"/>
      <c r="I1082" s="18"/>
      <c r="J1082" s="18"/>
      <c r="K1082" s="18"/>
      <c r="L1082" s="18"/>
      <c r="M1082" s="18"/>
      <c r="N1082" s="149"/>
      <c r="O1082" s="19"/>
      <c r="P1082" s="8"/>
      <c r="Q1082" s="8"/>
      <c r="R1082" s="8"/>
      <c r="S1082" s="8"/>
      <c r="T1082" s="8"/>
      <c r="U1082" s="8"/>
      <c r="V1082" s="8"/>
      <c r="W1082" s="8"/>
      <c r="X1082" s="8"/>
      <c r="Y1082" s="8"/>
      <c r="Z1082" s="8"/>
    </row>
    <row r="1083" spans="1:26" s="9" customFormat="1" ht="15.75">
      <c r="A1083" s="104" t="s">
        <v>114</v>
      </c>
      <c r="B1083" s="21">
        <v>3</v>
      </c>
      <c r="C1083" s="21">
        <v>3</v>
      </c>
      <c r="D1083" s="21">
        <v>1</v>
      </c>
      <c r="E1083" s="21">
        <v>0</v>
      </c>
      <c r="F1083" s="21">
        <v>1</v>
      </c>
      <c r="G1083" s="21">
        <v>1</v>
      </c>
      <c r="H1083" s="21">
        <v>5</v>
      </c>
      <c r="I1083" s="21">
        <v>3</v>
      </c>
      <c r="J1083" s="21">
        <v>0</v>
      </c>
      <c r="K1083" s="21">
        <v>0</v>
      </c>
      <c r="L1083" s="21">
        <v>0</v>
      </c>
      <c r="M1083" s="21">
        <v>0</v>
      </c>
      <c r="N1083" s="150">
        <f>SUM(B1083:M1083)</f>
        <v>17</v>
      </c>
      <c r="O1083" s="22">
        <f>IF(N1083=0,0,AVERAGE(B1083:M1083))</f>
        <v>1.4166666666666667</v>
      </c>
      <c r="P1083" s="8"/>
      <c r="Q1083" s="8"/>
      <c r="R1083" s="8"/>
      <c r="S1083" s="8"/>
      <c r="T1083" s="8"/>
      <c r="U1083" s="8"/>
      <c r="V1083" s="8"/>
      <c r="W1083" s="8"/>
      <c r="X1083" s="8"/>
      <c r="Y1083" s="8"/>
      <c r="Z1083" s="8"/>
    </row>
    <row r="1084" spans="1:26" s="9" customFormat="1" ht="15.75">
      <c r="A1084" s="62" t="s">
        <v>21</v>
      </c>
      <c r="B1084" s="24">
        <f t="shared" ref="B1084:C1084" si="1430">SUM(B1083)</f>
        <v>3</v>
      </c>
      <c r="C1084" s="24">
        <f t="shared" si="1430"/>
        <v>3</v>
      </c>
      <c r="D1084" s="24">
        <f t="shared" ref="D1084:E1084" si="1431">SUM(D1083)</f>
        <v>1</v>
      </c>
      <c r="E1084" s="24">
        <f t="shared" si="1431"/>
        <v>0</v>
      </c>
      <c r="F1084" s="24">
        <f t="shared" ref="F1084:G1084" si="1432">SUM(F1083)</f>
        <v>1</v>
      </c>
      <c r="G1084" s="24">
        <f t="shared" si="1432"/>
        <v>1</v>
      </c>
      <c r="H1084" s="24">
        <f t="shared" ref="H1084:I1084" si="1433">SUM(H1083)</f>
        <v>5</v>
      </c>
      <c r="I1084" s="24">
        <f t="shared" si="1433"/>
        <v>3</v>
      </c>
      <c r="J1084" s="24">
        <f t="shared" ref="J1084:K1084" si="1434">SUM(J1083)</f>
        <v>0</v>
      </c>
      <c r="K1084" s="24">
        <f t="shared" si="1434"/>
        <v>0</v>
      </c>
      <c r="L1084" s="24">
        <f t="shared" ref="L1084:M1084" si="1435">SUM(L1083)</f>
        <v>0</v>
      </c>
      <c r="M1084" s="24">
        <f t="shared" si="1435"/>
        <v>0</v>
      </c>
      <c r="N1084" s="144">
        <f>SUM(N1083)</f>
        <v>17</v>
      </c>
      <c r="O1084" s="25">
        <f>SUM(O1083)</f>
        <v>1.4166666666666667</v>
      </c>
      <c r="P1084" s="8"/>
      <c r="Q1084" s="8"/>
      <c r="R1084" s="8"/>
      <c r="S1084" s="8"/>
      <c r="T1084" s="8"/>
      <c r="U1084" s="8"/>
      <c r="V1084" s="8"/>
      <c r="W1084" s="8"/>
      <c r="X1084" s="8"/>
      <c r="Y1084" s="8"/>
      <c r="Z1084" s="8"/>
    </row>
    <row r="1085" spans="1:26" s="9" customFormat="1" ht="15.75">
      <c r="A1085" s="62" t="s">
        <v>112</v>
      </c>
      <c r="B1085" s="25">
        <f t="shared" ref="B1085:G1085" si="1436">IF(B1084=0,"",B1084/B$1870)</f>
        <v>9.6774193548387094E-2</v>
      </c>
      <c r="C1085" s="25">
        <f t="shared" si="1436"/>
        <v>0.10714285714285714</v>
      </c>
      <c r="D1085" s="25">
        <f t="shared" si="1436"/>
        <v>3.2258064516129031E-2</v>
      </c>
      <c r="E1085" s="25" t="s">
        <v>44</v>
      </c>
      <c r="F1085" s="25">
        <f t="shared" si="1436"/>
        <v>3.2258064516129031E-2</v>
      </c>
      <c r="G1085" s="25">
        <f t="shared" si="1436"/>
        <v>3.3333333333333333E-2</v>
      </c>
      <c r="H1085" s="25">
        <f t="shared" ref="H1085:I1085" si="1437">IF(H1084=0,"",H1084/H$1870)</f>
        <v>0.16129032258064516</v>
      </c>
      <c r="I1085" s="25">
        <f t="shared" si="1437"/>
        <v>9.6774193548387094E-2</v>
      </c>
      <c r="J1085" s="25" t="s">
        <v>44</v>
      </c>
      <c r="K1085" s="25" t="s">
        <v>44</v>
      </c>
      <c r="L1085" s="25" t="s">
        <v>44</v>
      </c>
      <c r="M1085" s="25" t="s">
        <v>44</v>
      </c>
      <c r="N1085" s="144">
        <f>SUM(B1085:M1085)</f>
        <v>0.55983102918586791</v>
      </c>
      <c r="O1085" s="25">
        <f>IF(N1085=0,0,AVERAGE(B1085:M1085))</f>
        <v>7.9975861312266847E-2</v>
      </c>
      <c r="P1085" s="8"/>
      <c r="Q1085" s="8"/>
      <c r="R1085" s="8"/>
      <c r="S1085" s="8"/>
      <c r="T1085" s="8"/>
      <c r="U1085" s="8"/>
      <c r="V1085" s="8"/>
      <c r="W1085" s="8"/>
      <c r="X1085" s="8"/>
      <c r="Y1085" s="8"/>
      <c r="Z1085" s="8"/>
    </row>
    <row r="1086" spans="1:26" s="9" customFormat="1" ht="15.75">
      <c r="A1086" s="101"/>
      <c r="B1086" s="27"/>
      <c r="C1086" s="27"/>
      <c r="D1086" s="27"/>
      <c r="E1086" s="27"/>
      <c r="F1086" s="27"/>
      <c r="G1086" s="27"/>
      <c r="H1086" s="27"/>
      <c r="I1086" s="27"/>
      <c r="J1086" s="27"/>
      <c r="K1086" s="27"/>
      <c r="L1086" s="27"/>
      <c r="M1086" s="27"/>
      <c r="N1086" s="151"/>
      <c r="O1086" s="57"/>
      <c r="P1086" s="8"/>
      <c r="Q1086" s="8"/>
      <c r="R1086" s="8"/>
      <c r="S1086" s="8"/>
      <c r="T1086" s="8"/>
      <c r="U1086" s="8"/>
      <c r="V1086" s="8"/>
      <c r="W1086" s="8"/>
      <c r="X1086" s="8"/>
      <c r="Y1086" s="8"/>
      <c r="Z1086" s="8"/>
    </row>
    <row r="1087" spans="1:26" s="9" customFormat="1" ht="15.75">
      <c r="A1087" s="91" t="s">
        <v>153</v>
      </c>
      <c r="B1087" s="92">
        <f t="shared" ref="B1087:C1087" si="1438">B1079</f>
        <v>0</v>
      </c>
      <c r="C1087" s="92">
        <f t="shared" si="1438"/>
        <v>0</v>
      </c>
      <c r="D1087" s="92">
        <f t="shared" ref="D1087:E1087" si="1439">D1079</f>
        <v>0</v>
      </c>
      <c r="E1087" s="92">
        <f t="shared" si="1439"/>
        <v>0</v>
      </c>
      <c r="F1087" s="92">
        <f t="shared" ref="F1087:G1087" si="1440">F1079</f>
        <v>0</v>
      </c>
      <c r="G1087" s="92">
        <f t="shared" si="1440"/>
        <v>0</v>
      </c>
      <c r="H1087" s="92">
        <f t="shared" ref="H1087:I1087" si="1441">H1079</f>
        <v>0</v>
      </c>
      <c r="I1087" s="92">
        <f t="shared" si="1441"/>
        <v>0</v>
      </c>
      <c r="J1087" s="92">
        <f t="shared" ref="J1087:K1087" si="1442">J1079</f>
        <v>0</v>
      </c>
      <c r="K1087" s="92">
        <f t="shared" si="1442"/>
        <v>0</v>
      </c>
      <c r="L1087" s="92">
        <f t="shared" ref="L1087:M1087" si="1443">L1079</f>
        <v>0</v>
      </c>
      <c r="M1087" s="92">
        <f t="shared" si="1443"/>
        <v>0</v>
      </c>
      <c r="N1087" s="150">
        <f>SUM(B1087:M1087)</f>
        <v>0</v>
      </c>
      <c r="O1087" s="22">
        <f>IF(N1087=0,0,AVERAGE(B1087:M1087))</f>
        <v>0</v>
      </c>
      <c r="P1087" s="8"/>
      <c r="Q1087" s="8"/>
      <c r="R1087" s="8"/>
      <c r="S1087" s="8"/>
      <c r="T1087" s="8"/>
      <c r="U1087" s="8"/>
      <c r="V1087" s="8"/>
      <c r="W1087" s="8"/>
      <c r="X1087" s="8"/>
      <c r="Y1087" s="8"/>
      <c r="Z1087" s="8"/>
    </row>
    <row r="1088" spans="1:26" s="9" customFormat="1" ht="15.75">
      <c r="A1088" s="91" t="s">
        <v>154</v>
      </c>
      <c r="B1088" s="92">
        <f t="shared" ref="B1088:C1088" si="1444">B1084</f>
        <v>3</v>
      </c>
      <c r="C1088" s="92">
        <f t="shared" si="1444"/>
        <v>3</v>
      </c>
      <c r="D1088" s="92">
        <f t="shared" ref="D1088:E1088" si="1445">D1084</f>
        <v>1</v>
      </c>
      <c r="E1088" s="92">
        <f t="shared" si="1445"/>
        <v>0</v>
      </c>
      <c r="F1088" s="92">
        <f t="shared" ref="F1088:G1088" si="1446">F1084</f>
        <v>1</v>
      </c>
      <c r="G1088" s="92">
        <f t="shared" si="1446"/>
        <v>1</v>
      </c>
      <c r="H1088" s="92">
        <f t="shared" ref="H1088:I1088" si="1447">H1084</f>
        <v>5</v>
      </c>
      <c r="I1088" s="92">
        <f t="shared" si="1447"/>
        <v>3</v>
      </c>
      <c r="J1088" s="92">
        <f t="shared" ref="J1088:K1088" si="1448">J1084</f>
        <v>0</v>
      </c>
      <c r="K1088" s="92">
        <f t="shared" si="1448"/>
        <v>0</v>
      </c>
      <c r="L1088" s="92">
        <f t="shared" ref="L1088:M1088" si="1449">L1084</f>
        <v>0</v>
      </c>
      <c r="M1088" s="92">
        <f t="shared" si="1449"/>
        <v>0</v>
      </c>
      <c r="N1088" s="150">
        <f>SUM(B1088:M1088)</f>
        <v>17</v>
      </c>
      <c r="O1088" s="22">
        <f>IF(N1088=0,0,AVERAGE(B1088:M1088))</f>
        <v>1.4166666666666667</v>
      </c>
      <c r="P1088" s="8"/>
      <c r="Q1088" s="8"/>
      <c r="R1088" s="8"/>
      <c r="S1088" s="8"/>
      <c r="T1088" s="8"/>
      <c r="U1088" s="8"/>
      <c r="V1088" s="8"/>
      <c r="W1088" s="8"/>
      <c r="X1088" s="8"/>
      <c r="Y1088" s="8"/>
      <c r="Z1088" s="8"/>
    </row>
    <row r="1089" spans="1:26" s="9" customFormat="1" ht="15.75">
      <c r="A1089" s="381" t="s">
        <v>155</v>
      </c>
      <c r="B1089" s="372">
        <f t="shared" ref="B1089:C1089" si="1450">SUM(B1087:B1088)</f>
        <v>3</v>
      </c>
      <c r="C1089" s="372">
        <f t="shared" si="1450"/>
        <v>3</v>
      </c>
      <c r="D1089" s="372">
        <f t="shared" ref="D1089:E1089" si="1451">SUM(D1087:D1088)</f>
        <v>1</v>
      </c>
      <c r="E1089" s="372">
        <f t="shared" si="1451"/>
        <v>0</v>
      </c>
      <c r="F1089" s="372">
        <f t="shared" ref="F1089:G1089" si="1452">SUM(F1087:F1088)</f>
        <v>1</v>
      </c>
      <c r="G1089" s="372">
        <f t="shared" si="1452"/>
        <v>1</v>
      </c>
      <c r="H1089" s="372">
        <f t="shared" ref="H1089:I1089" si="1453">SUM(H1087:H1088)</f>
        <v>5</v>
      </c>
      <c r="I1089" s="372">
        <f t="shared" si="1453"/>
        <v>3</v>
      </c>
      <c r="J1089" s="372">
        <f t="shared" ref="J1089:K1089" si="1454">SUM(J1087:J1088)</f>
        <v>0</v>
      </c>
      <c r="K1089" s="372">
        <f t="shared" si="1454"/>
        <v>0</v>
      </c>
      <c r="L1089" s="372">
        <f t="shared" ref="L1089:M1089" si="1455">SUM(L1087:L1088)</f>
        <v>0</v>
      </c>
      <c r="M1089" s="372">
        <f t="shared" si="1455"/>
        <v>0</v>
      </c>
      <c r="N1089" s="373">
        <f>SUM(N1087:N1088)</f>
        <v>17</v>
      </c>
      <c r="O1089" s="374">
        <f>SUM(O1087:O1088)</f>
        <v>1.4166666666666667</v>
      </c>
      <c r="P1089" s="8"/>
      <c r="Q1089" s="8"/>
      <c r="R1089" s="8"/>
      <c r="S1089" s="8"/>
      <c r="T1089" s="8"/>
      <c r="U1089" s="8"/>
      <c r="V1089" s="8"/>
      <c r="W1089" s="8"/>
      <c r="X1089" s="8"/>
      <c r="Y1089" s="8"/>
      <c r="Z1089" s="8"/>
    </row>
    <row r="1090" spans="1:26" s="9" customFormat="1" ht="15.75">
      <c r="A1090" s="88"/>
      <c r="B1090" s="89"/>
      <c r="C1090" s="89"/>
      <c r="D1090" s="89"/>
      <c r="E1090" s="89"/>
      <c r="F1090" s="89"/>
      <c r="G1090" s="89"/>
      <c r="H1090" s="89"/>
      <c r="I1090" s="89"/>
      <c r="J1090" s="89"/>
      <c r="K1090" s="89"/>
      <c r="L1090" s="89"/>
      <c r="M1090" s="89"/>
      <c r="N1090" s="167"/>
      <c r="O1090" s="90"/>
      <c r="P1090" s="8"/>
      <c r="Q1090" s="8"/>
      <c r="R1090" s="8"/>
      <c r="S1090" s="8"/>
      <c r="T1090" s="8"/>
      <c r="U1090" s="8"/>
      <c r="V1090" s="8"/>
      <c r="W1090" s="8"/>
      <c r="X1090" s="8"/>
      <c r="Y1090" s="8"/>
      <c r="Z1090" s="8"/>
    </row>
    <row r="1091" spans="1:26" s="9" customFormat="1" ht="15.75">
      <c r="A1091" s="391" t="s">
        <v>614</v>
      </c>
      <c r="B1091" s="392"/>
      <c r="C1091" s="392"/>
      <c r="D1091" s="392"/>
      <c r="E1091" s="392"/>
      <c r="F1091" s="392"/>
      <c r="G1091" s="392"/>
      <c r="H1091" s="392"/>
      <c r="I1091" s="392"/>
      <c r="J1091" s="392"/>
      <c r="K1091" s="392"/>
      <c r="L1091" s="392"/>
      <c r="M1091" s="392"/>
      <c r="N1091" s="393"/>
      <c r="O1091" s="394"/>
      <c r="P1091" s="13"/>
      <c r="Q1091" s="13"/>
      <c r="R1091" s="13"/>
      <c r="S1091" s="13"/>
      <c r="T1091" s="13"/>
      <c r="U1091" s="13"/>
      <c r="V1091" s="13"/>
      <c r="W1091" s="13"/>
      <c r="X1091" s="13"/>
      <c r="Y1091" s="13"/>
      <c r="Z1091" s="13"/>
    </row>
    <row r="1092" spans="1:26" s="9" customFormat="1" ht="15.75">
      <c r="A1092" s="395" t="s">
        <v>703</v>
      </c>
      <c r="B1092" s="392"/>
      <c r="C1092" s="392"/>
      <c r="D1092" s="392"/>
      <c r="E1092" s="392"/>
      <c r="F1092" s="392"/>
      <c r="G1092" s="392"/>
      <c r="H1092" s="392"/>
      <c r="I1092" s="392"/>
      <c r="J1092" s="392"/>
      <c r="K1092" s="392"/>
      <c r="L1092" s="392"/>
      <c r="M1092" s="392"/>
      <c r="N1092" s="393"/>
      <c r="O1092" s="394"/>
      <c r="P1092" s="13"/>
      <c r="Q1092" s="13"/>
      <c r="R1092" s="13"/>
      <c r="S1092" s="13"/>
      <c r="T1092" s="13"/>
      <c r="U1092" s="13"/>
      <c r="V1092" s="13"/>
      <c r="W1092" s="13"/>
      <c r="X1092" s="13"/>
      <c r="Y1092" s="13"/>
      <c r="Z1092" s="13"/>
    </row>
    <row r="1093" spans="1:26" s="9" customFormat="1" ht="15.75">
      <c r="A1093" s="113" t="s">
        <v>415</v>
      </c>
      <c r="B1093" s="21">
        <f t="shared" ref="B1093:G1093" si="1456">B1121+B1157</f>
        <v>1</v>
      </c>
      <c r="C1093" s="21">
        <f t="shared" si="1456"/>
        <v>0</v>
      </c>
      <c r="D1093" s="21">
        <f t="shared" si="1456"/>
        <v>0</v>
      </c>
      <c r="E1093" s="21">
        <f t="shared" si="1456"/>
        <v>0</v>
      </c>
      <c r="F1093" s="21">
        <f t="shared" si="1456"/>
        <v>1</v>
      </c>
      <c r="G1093" s="21">
        <f t="shared" si="1456"/>
        <v>0</v>
      </c>
      <c r="H1093" s="21">
        <f t="shared" ref="H1093:I1093" si="1457">H1121+H1157</f>
        <v>1</v>
      </c>
      <c r="I1093" s="21">
        <f t="shared" si="1457"/>
        <v>0</v>
      </c>
      <c r="J1093" s="21">
        <f t="shared" ref="J1093:K1093" si="1458">J1121+J1157</f>
        <v>1</v>
      </c>
      <c r="K1093" s="21">
        <f t="shared" si="1458"/>
        <v>1</v>
      </c>
      <c r="L1093" s="21">
        <f t="shared" ref="L1093:M1093" si="1459">L1121+L1157</f>
        <v>0</v>
      </c>
      <c r="M1093" s="21">
        <f t="shared" si="1459"/>
        <v>0</v>
      </c>
      <c r="N1093" s="150">
        <f>SUM(B1093:M1093)</f>
        <v>5</v>
      </c>
      <c r="O1093" s="22">
        <f>IF(N1093=0,0,AVERAGE(B1093:M1093))</f>
        <v>0.41666666666666669</v>
      </c>
      <c r="P1093" s="13"/>
      <c r="Q1093" s="13"/>
      <c r="R1093" s="13"/>
      <c r="S1093" s="13"/>
      <c r="T1093" s="13"/>
      <c r="U1093" s="13"/>
      <c r="V1093" s="13"/>
      <c r="W1093" s="13"/>
      <c r="X1093" s="13"/>
      <c r="Y1093" s="13"/>
      <c r="Z1093" s="13"/>
    </row>
    <row r="1094" spans="1:26" s="9" customFormat="1" ht="15.75">
      <c r="A1094" s="113" t="s">
        <v>686</v>
      </c>
      <c r="B1094" s="21">
        <f t="shared" ref="B1094:C1094" si="1460">B1122+B1158</f>
        <v>2</v>
      </c>
      <c r="C1094" s="21">
        <f t="shared" si="1460"/>
        <v>3</v>
      </c>
      <c r="D1094" s="21">
        <f t="shared" ref="D1094:E1094" si="1461">D1122+D1158</f>
        <v>1</v>
      </c>
      <c r="E1094" s="21">
        <f t="shared" si="1461"/>
        <v>0</v>
      </c>
      <c r="F1094" s="21">
        <f t="shared" ref="F1094:G1094" si="1462">F1122+F1158</f>
        <v>2</v>
      </c>
      <c r="G1094" s="21">
        <f t="shared" si="1462"/>
        <v>2</v>
      </c>
      <c r="H1094" s="21">
        <f t="shared" ref="H1094:I1094" si="1463">H1122+H1158</f>
        <v>5</v>
      </c>
      <c r="I1094" s="21">
        <f t="shared" si="1463"/>
        <v>12</v>
      </c>
      <c r="J1094" s="21">
        <f t="shared" ref="J1094:K1094" si="1464">J1122+J1158</f>
        <v>6</v>
      </c>
      <c r="K1094" s="21">
        <f t="shared" si="1464"/>
        <v>2</v>
      </c>
      <c r="L1094" s="21">
        <f t="shared" ref="L1094:M1094" si="1465">L1122+L1158</f>
        <v>7</v>
      </c>
      <c r="M1094" s="21">
        <f t="shared" si="1465"/>
        <v>2</v>
      </c>
      <c r="N1094" s="150">
        <f t="shared" ref="N1094:N1116" si="1466">SUM(B1094:M1094)</f>
        <v>44</v>
      </c>
      <c r="O1094" s="22">
        <f t="shared" ref="O1094:O1116" si="1467">IF(N1094=0,0,AVERAGE(B1094:M1094))</f>
        <v>3.6666666666666665</v>
      </c>
      <c r="P1094" s="13"/>
      <c r="Q1094" s="13"/>
      <c r="R1094" s="13"/>
      <c r="S1094" s="13"/>
      <c r="T1094" s="13"/>
      <c r="U1094" s="13"/>
      <c r="V1094" s="13"/>
      <c r="W1094" s="13"/>
      <c r="X1094" s="13"/>
      <c r="Y1094" s="13"/>
      <c r="Z1094" s="13"/>
    </row>
    <row r="1095" spans="1:26" s="9" customFormat="1" ht="15.75">
      <c r="A1095" s="113" t="s">
        <v>687</v>
      </c>
      <c r="B1095" s="21">
        <f t="shared" ref="B1095:C1095" si="1468">B1123+B1159</f>
        <v>1</v>
      </c>
      <c r="C1095" s="21">
        <f t="shared" si="1468"/>
        <v>0</v>
      </c>
      <c r="D1095" s="21">
        <f t="shared" ref="D1095:E1095" si="1469">D1123+D1159</f>
        <v>0</v>
      </c>
      <c r="E1095" s="21">
        <f t="shared" si="1469"/>
        <v>0</v>
      </c>
      <c r="F1095" s="21">
        <f t="shared" ref="F1095:G1095" si="1470">F1123+F1159</f>
        <v>1</v>
      </c>
      <c r="G1095" s="21">
        <f t="shared" si="1470"/>
        <v>0</v>
      </c>
      <c r="H1095" s="21">
        <f t="shared" ref="H1095:I1095" si="1471">H1123+H1159</f>
        <v>1</v>
      </c>
      <c r="I1095" s="21">
        <f t="shared" si="1471"/>
        <v>3</v>
      </c>
      <c r="J1095" s="21">
        <f t="shared" ref="J1095:K1095" si="1472">J1123+J1159</f>
        <v>2</v>
      </c>
      <c r="K1095" s="21">
        <f t="shared" si="1472"/>
        <v>0</v>
      </c>
      <c r="L1095" s="21">
        <f t="shared" ref="L1095:M1095" si="1473">L1123+L1159</f>
        <v>2</v>
      </c>
      <c r="M1095" s="21">
        <f t="shared" si="1473"/>
        <v>0</v>
      </c>
      <c r="N1095" s="150">
        <f t="shared" si="1466"/>
        <v>10</v>
      </c>
      <c r="O1095" s="22">
        <f t="shared" si="1467"/>
        <v>0.83333333333333337</v>
      </c>
      <c r="P1095" s="13"/>
      <c r="Q1095" s="13"/>
      <c r="R1095" s="13"/>
      <c r="S1095" s="13"/>
      <c r="T1095" s="13"/>
      <c r="U1095" s="13"/>
      <c r="V1095" s="13"/>
      <c r="W1095" s="13"/>
      <c r="X1095" s="13"/>
      <c r="Y1095" s="13"/>
      <c r="Z1095" s="13"/>
    </row>
    <row r="1096" spans="1:26" s="9" customFormat="1" ht="15.75">
      <c r="A1096" s="113" t="s">
        <v>688</v>
      </c>
      <c r="B1096" s="21">
        <f t="shared" ref="B1096:C1096" si="1474">B1124+B1160</f>
        <v>0</v>
      </c>
      <c r="C1096" s="21">
        <f t="shared" si="1474"/>
        <v>0</v>
      </c>
      <c r="D1096" s="21">
        <f t="shared" ref="D1096:E1096" si="1475">D1124+D1160</f>
        <v>7</v>
      </c>
      <c r="E1096" s="21">
        <f t="shared" si="1475"/>
        <v>0</v>
      </c>
      <c r="F1096" s="21">
        <f t="shared" ref="F1096:G1096" si="1476">F1124+F1160</f>
        <v>0</v>
      </c>
      <c r="G1096" s="21">
        <f t="shared" si="1476"/>
        <v>0</v>
      </c>
      <c r="H1096" s="21">
        <f t="shared" ref="H1096:I1096" si="1477">H1124+H1160</f>
        <v>0</v>
      </c>
      <c r="I1096" s="21">
        <f t="shared" si="1477"/>
        <v>2</v>
      </c>
      <c r="J1096" s="21">
        <f t="shared" ref="J1096:K1096" si="1478">J1124+J1160</f>
        <v>2</v>
      </c>
      <c r="K1096" s="21">
        <f t="shared" si="1478"/>
        <v>2</v>
      </c>
      <c r="L1096" s="21">
        <f t="shared" ref="L1096:M1096" si="1479">L1124+L1160</f>
        <v>6</v>
      </c>
      <c r="M1096" s="21">
        <f t="shared" si="1479"/>
        <v>0</v>
      </c>
      <c r="N1096" s="150">
        <f t="shared" si="1466"/>
        <v>19</v>
      </c>
      <c r="O1096" s="22">
        <f t="shared" si="1467"/>
        <v>1.5833333333333333</v>
      </c>
      <c r="P1096" s="13"/>
      <c r="Q1096" s="13"/>
      <c r="R1096" s="13"/>
      <c r="S1096" s="13"/>
      <c r="T1096" s="13"/>
      <c r="U1096" s="13"/>
      <c r="V1096" s="13"/>
      <c r="W1096" s="13"/>
      <c r="X1096" s="13"/>
      <c r="Y1096" s="13"/>
      <c r="Z1096" s="13"/>
    </row>
    <row r="1097" spans="1:26" s="9" customFormat="1" ht="15.75">
      <c r="A1097" s="113" t="s">
        <v>694</v>
      </c>
      <c r="B1097" s="21">
        <f t="shared" ref="B1097:C1097" si="1480">B1125+B1161</f>
        <v>0</v>
      </c>
      <c r="C1097" s="21">
        <f t="shared" si="1480"/>
        <v>0</v>
      </c>
      <c r="D1097" s="21">
        <f t="shared" ref="D1097:E1097" si="1481">D1125+D1161</f>
        <v>2</v>
      </c>
      <c r="E1097" s="21">
        <f t="shared" si="1481"/>
        <v>0</v>
      </c>
      <c r="F1097" s="21">
        <f t="shared" ref="F1097:G1097" si="1482">F1125+F1161</f>
        <v>2</v>
      </c>
      <c r="G1097" s="21">
        <f t="shared" si="1482"/>
        <v>0</v>
      </c>
      <c r="H1097" s="21">
        <f t="shared" ref="H1097:I1097" si="1483">H1125+H1161</f>
        <v>0</v>
      </c>
      <c r="I1097" s="21">
        <f t="shared" si="1483"/>
        <v>0</v>
      </c>
      <c r="J1097" s="21">
        <f t="shared" ref="J1097:K1097" si="1484">J1125+J1161</f>
        <v>0</v>
      </c>
      <c r="K1097" s="21">
        <f t="shared" si="1484"/>
        <v>0</v>
      </c>
      <c r="L1097" s="21">
        <f t="shared" ref="L1097:M1097" si="1485">L1125+L1161</f>
        <v>0</v>
      </c>
      <c r="M1097" s="21">
        <f t="shared" si="1485"/>
        <v>0</v>
      </c>
      <c r="N1097" s="150">
        <f t="shared" si="1466"/>
        <v>4</v>
      </c>
      <c r="O1097" s="22">
        <f t="shared" si="1467"/>
        <v>0.33333333333333331</v>
      </c>
      <c r="P1097" s="13"/>
      <c r="Q1097" s="13"/>
      <c r="R1097" s="13"/>
      <c r="S1097" s="13"/>
      <c r="T1097" s="13"/>
      <c r="U1097" s="13"/>
      <c r="V1097" s="13"/>
      <c r="W1097" s="13"/>
      <c r="X1097" s="13"/>
      <c r="Y1097" s="13"/>
      <c r="Z1097" s="13"/>
    </row>
    <row r="1098" spans="1:26" s="9" customFormat="1" ht="15.75">
      <c r="A1098" s="113" t="s">
        <v>692</v>
      </c>
      <c r="B1098" s="21">
        <f t="shared" ref="B1098:C1098" si="1486">B1126+B1162</f>
        <v>0</v>
      </c>
      <c r="C1098" s="21">
        <f t="shared" si="1486"/>
        <v>0</v>
      </c>
      <c r="D1098" s="21">
        <f t="shared" ref="D1098:E1098" si="1487">D1126+D1162</f>
        <v>0</v>
      </c>
      <c r="E1098" s="21">
        <f t="shared" si="1487"/>
        <v>0</v>
      </c>
      <c r="F1098" s="21">
        <f t="shared" ref="F1098:G1098" si="1488">F1126+F1162</f>
        <v>0</v>
      </c>
      <c r="G1098" s="21">
        <f t="shared" si="1488"/>
        <v>3</v>
      </c>
      <c r="H1098" s="21">
        <f t="shared" ref="H1098:I1098" si="1489">H1126+H1162</f>
        <v>3</v>
      </c>
      <c r="I1098" s="21">
        <f t="shared" si="1489"/>
        <v>2</v>
      </c>
      <c r="J1098" s="21">
        <f t="shared" ref="J1098:K1098" si="1490">J1126+J1162</f>
        <v>2</v>
      </c>
      <c r="K1098" s="21">
        <f t="shared" si="1490"/>
        <v>3</v>
      </c>
      <c r="L1098" s="21">
        <f t="shared" ref="L1098:M1098" si="1491">L1126+L1162</f>
        <v>1</v>
      </c>
      <c r="M1098" s="21">
        <f t="shared" si="1491"/>
        <v>0</v>
      </c>
      <c r="N1098" s="150">
        <f t="shared" si="1466"/>
        <v>14</v>
      </c>
      <c r="O1098" s="22">
        <f t="shared" si="1467"/>
        <v>1.1666666666666667</v>
      </c>
      <c r="P1098" s="8"/>
      <c r="Q1098" s="8"/>
      <c r="R1098" s="8"/>
      <c r="S1098" s="8"/>
      <c r="T1098" s="8"/>
      <c r="U1098" s="8"/>
      <c r="V1098" s="8"/>
      <c r="W1098" s="8"/>
      <c r="X1098" s="8"/>
      <c r="Y1098" s="8"/>
      <c r="Z1098" s="8"/>
    </row>
    <row r="1099" spans="1:26" s="9" customFormat="1" ht="15.75">
      <c r="A1099" s="37" t="s">
        <v>157</v>
      </c>
      <c r="B1099" s="21">
        <f t="shared" ref="B1099:C1099" si="1492">B1127+B1163</f>
        <v>3</v>
      </c>
      <c r="C1099" s="21">
        <f t="shared" si="1492"/>
        <v>2</v>
      </c>
      <c r="D1099" s="21">
        <f t="shared" ref="D1099:E1099" si="1493">D1127+D1163</f>
        <v>4</v>
      </c>
      <c r="E1099" s="21">
        <f t="shared" si="1493"/>
        <v>2</v>
      </c>
      <c r="F1099" s="21">
        <f t="shared" ref="F1099:G1099" si="1494">F1127+F1163</f>
        <v>1</v>
      </c>
      <c r="G1099" s="21">
        <f t="shared" si="1494"/>
        <v>1</v>
      </c>
      <c r="H1099" s="21">
        <f t="shared" ref="H1099:I1099" si="1495">H1127+H1163</f>
        <v>4</v>
      </c>
      <c r="I1099" s="21">
        <f t="shared" si="1495"/>
        <v>4</v>
      </c>
      <c r="J1099" s="21">
        <f t="shared" ref="J1099:K1099" si="1496">J1127+J1163</f>
        <v>5</v>
      </c>
      <c r="K1099" s="21">
        <f t="shared" si="1496"/>
        <v>6</v>
      </c>
      <c r="L1099" s="21">
        <f t="shared" ref="L1099:M1099" si="1497">L1127+L1163</f>
        <v>7</v>
      </c>
      <c r="M1099" s="21">
        <f t="shared" si="1497"/>
        <v>0</v>
      </c>
      <c r="N1099" s="150">
        <f t="shared" si="1466"/>
        <v>39</v>
      </c>
      <c r="O1099" s="22">
        <f t="shared" si="1467"/>
        <v>3.25</v>
      </c>
      <c r="P1099" s="8"/>
      <c r="Q1099" s="8"/>
      <c r="R1099" s="8"/>
      <c r="S1099" s="8"/>
      <c r="T1099" s="8"/>
      <c r="U1099" s="8"/>
      <c r="V1099" s="8"/>
      <c r="W1099" s="8"/>
      <c r="X1099" s="8"/>
      <c r="Y1099" s="8"/>
      <c r="Z1099" s="8"/>
    </row>
    <row r="1100" spans="1:26" s="9" customFormat="1" ht="15.75">
      <c r="A1100" s="37" t="s">
        <v>678</v>
      </c>
      <c r="B1100" s="21">
        <f t="shared" ref="B1100:C1100" si="1498">B1128+B1164</f>
        <v>13</v>
      </c>
      <c r="C1100" s="21">
        <f t="shared" si="1498"/>
        <v>5</v>
      </c>
      <c r="D1100" s="21">
        <f t="shared" ref="D1100:E1100" si="1499">D1128+D1164</f>
        <v>13</v>
      </c>
      <c r="E1100" s="21">
        <f t="shared" si="1499"/>
        <v>6</v>
      </c>
      <c r="F1100" s="21">
        <f t="shared" ref="F1100:G1100" si="1500">F1128+F1164</f>
        <v>4</v>
      </c>
      <c r="G1100" s="21">
        <f t="shared" si="1500"/>
        <v>11</v>
      </c>
      <c r="H1100" s="21">
        <f t="shared" ref="H1100:I1100" si="1501">H1128+H1164</f>
        <v>8</v>
      </c>
      <c r="I1100" s="21">
        <f t="shared" si="1501"/>
        <v>11</v>
      </c>
      <c r="J1100" s="21">
        <f t="shared" ref="J1100:K1100" si="1502">J1128+J1164</f>
        <v>20</v>
      </c>
      <c r="K1100" s="21">
        <f t="shared" si="1502"/>
        <v>10</v>
      </c>
      <c r="L1100" s="21">
        <f t="shared" ref="L1100:M1100" si="1503">L1128+L1164</f>
        <v>18</v>
      </c>
      <c r="M1100" s="21">
        <f t="shared" si="1503"/>
        <v>10</v>
      </c>
      <c r="N1100" s="150">
        <f t="shared" si="1466"/>
        <v>129</v>
      </c>
      <c r="O1100" s="22">
        <f t="shared" si="1467"/>
        <v>10.75</v>
      </c>
      <c r="P1100" s="8"/>
      <c r="Q1100" s="8"/>
      <c r="R1100" s="8"/>
      <c r="S1100" s="8"/>
      <c r="T1100" s="8"/>
      <c r="U1100" s="8"/>
      <c r="V1100" s="8"/>
      <c r="W1100" s="8"/>
      <c r="X1100" s="8"/>
      <c r="Y1100" s="8"/>
      <c r="Z1100" s="8"/>
    </row>
    <row r="1101" spans="1:26" s="9" customFormat="1" ht="15.75">
      <c r="A1101" s="37" t="s">
        <v>411</v>
      </c>
      <c r="B1101" s="21">
        <f t="shared" ref="B1101:C1101" si="1504">B1129+B1165</f>
        <v>0</v>
      </c>
      <c r="C1101" s="21">
        <f t="shared" si="1504"/>
        <v>0</v>
      </c>
      <c r="D1101" s="21">
        <f t="shared" ref="D1101:E1101" si="1505">D1129+D1165</f>
        <v>0</v>
      </c>
      <c r="E1101" s="21">
        <f t="shared" si="1505"/>
        <v>3</v>
      </c>
      <c r="F1101" s="21">
        <f t="shared" ref="F1101:G1101" si="1506">F1129+F1165</f>
        <v>0</v>
      </c>
      <c r="G1101" s="21">
        <f t="shared" si="1506"/>
        <v>8</v>
      </c>
      <c r="H1101" s="21">
        <f t="shared" ref="H1101:I1101" si="1507">H1129+H1165</f>
        <v>4</v>
      </c>
      <c r="I1101" s="21">
        <f t="shared" si="1507"/>
        <v>7</v>
      </c>
      <c r="J1101" s="21">
        <f t="shared" ref="J1101:K1101" si="1508">J1129+J1165</f>
        <v>9</v>
      </c>
      <c r="K1101" s="21">
        <f t="shared" si="1508"/>
        <v>6</v>
      </c>
      <c r="L1101" s="21">
        <f t="shared" ref="L1101:M1101" si="1509">L1129+L1165</f>
        <v>13</v>
      </c>
      <c r="M1101" s="21">
        <f t="shared" si="1509"/>
        <v>4</v>
      </c>
      <c r="N1101" s="150">
        <f t="shared" si="1466"/>
        <v>54</v>
      </c>
      <c r="O1101" s="22">
        <f t="shared" si="1467"/>
        <v>4.5</v>
      </c>
      <c r="P1101" s="8"/>
      <c r="Q1101" s="8"/>
      <c r="R1101" s="8"/>
      <c r="S1101" s="8"/>
      <c r="T1101" s="8"/>
      <c r="U1101" s="8"/>
      <c r="V1101" s="8"/>
      <c r="W1101" s="8"/>
      <c r="X1101" s="8"/>
      <c r="Y1101" s="8"/>
      <c r="Z1101" s="8"/>
    </row>
    <row r="1102" spans="1:26" s="9" customFormat="1" ht="15.75">
      <c r="A1102" s="37" t="s">
        <v>690</v>
      </c>
      <c r="B1102" s="21">
        <f t="shared" ref="B1102:C1102" si="1510">B1130+B1166</f>
        <v>0</v>
      </c>
      <c r="C1102" s="21">
        <f t="shared" si="1510"/>
        <v>0</v>
      </c>
      <c r="D1102" s="21">
        <f t="shared" ref="D1102:E1102" si="1511">D1130+D1166</f>
        <v>0</v>
      </c>
      <c r="E1102" s="21">
        <f t="shared" si="1511"/>
        <v>0</v>
      </c>
      <c r="F1102" s="21">
        <f t="shared" ref="F1102:G1102" si="1512">F1130+F1166</f>
        <v>1</v>
      </c>
      <c r="G1102" s="21">
        <f t="shared" si="1512"/>
        <v>1</v>
      </c>
      <c r="H1102" s="21">
        <f t="shared" ref="H1102:I1102" si="1513">H1130+H1166</f>
        <v>3</v>
      </c>
      <c r="I1102" s="21">
        <f t="shared" si="1513"/>
        <v>0</v>
      </c>
      <c r="J1102" s="21">
        <f t="shared" ref="J1102:K1102" si="1514">J1130+J1166</f>
        <v>0</v>
      </c>
      <c r="K1102" s="21">
        <f t="shared" si="1514"/>
        <v>2</v>
      </c>
      <c r="L1102" s="21">
        <f t="shared" ref="L1102:M1102" si="1515">L1130+L1166</f>
        <v>3</v>
      </c>
      <c r="M1102" s="21">
        <f t="shared" si="1515"/>
        <v>1</v>
      </c>
      <c r="N1102" s="150">
        <f t="shared" si="1466"/>
        <v>11</v>
      </c>
      <c r="O1102" s="22">
        <f t="shared" si="1467"/>
        <v>0.91666666666666663</v>
      </c>
      <c r="P1102" s="8"/>
      <c r="Q1102" s="8"/>
      <c r="R1102" s="8"/>
      <c r="S1102" s="8"/>
      <c r="T1102" s="8"/>
      <c r="U1102" s="8"/>
      <c r="V1102" s="8"/>
      <c r="W1102" s="8"/>
      <c r="X1102" s="8"/>
      <c r="Y1102" s="8"/>
      <c r="Z1102" s="8"/>
    </row>
    <row r="1103" spans="1:26" s="9" customFormat="1" ht="15.75">
      <c r="A1103" s="37" t="s">
        <v>695</v>
      </c>
      <c r="B1103" s="21">
        <f t="shared" ref="B1103:C1103" si="1516">B1131+B1167</f>
        <v>0</v>
      </c>
      <c r="C1103" s="21">
        <f t="shared" si="1516"/>
        <v>0</v>
      </c>
      <c r="D1103" s="21">
        <f t="shared" ref="D1103:E1103" si="1517">D1131+D1167</f>
        <v>0</v>
      </c>
      <c r="E1103" s="21">
        <f t="shared" si="1517"/>
        <v>0</v>
      </c>
      <c r="F1103" s="21">
        <f t="shared" ref="F1103:G1103" si="1518">F1131+F1167</f>
        <v>1</v>
      </c>
      <c r="G1103" s="21">
        <f t="shared" si="1518"/>
        <v>0</v>
      </c>
      <c r="H1103" s="21">
        <f t="shared" ref="H1103:I1103" si="1519">H1131+H1167</f>
        <v>0</v>
      </c>
      <c r="I1103" s="21">
        <f t="shared" si="1519"/>
        <v>0</v>
      </c>
      <c r="J1103" s="21">
        <f t="shared" ref="J1103:K1103" si="1520">J1131+J1167</f>
        <v>0</v>
      </c>
      <c r="K1103" s="21">
        <f t="shared" si="1520"/>
        <v>0</v>
      </c>
      <c r="L1103" s="21">
        <f t="shared" ref="L1103:M1103" si="1521">L1131+L1167</f>
        <v>0</v>
      </c>
      <c r="M1103" s="21">
        <f t="shared" si="1521"/>
        <v>0</v>
      </c>
      <c r="N1103" s="150">
        <f t="shared" si="1466"/>
        <v>1</v>
      </c>
      <c r="O1103" s="22">
        <f t="shared" si="1467"/>
        <v>8.3333333333333329E-2</v>
      </c>
      <c r="P1103" s="8"/>
      <c r="Q1103" s="8"/>
      <c r="R1103" s="8"/>
      <c r="S1103" s="8"/>
      <c r="T1103" s="8"/>
      <c r="U1103" s="8"/>
      <c r="V1103" s="8"/>
      <c r="W1103" s="8"/>
      <c r="X1103" s="8"/>
      <c r="Y1103" s="8"/>
      <c r="Z1103" s="8"/>
    </row>
    <row r="1104" spans="1:26" s="9" customFormat="1" ht="15.75">
      <c r="A1104" s="37" t="s">
        <v>158</v>
      </c>
      <c r="B1104" s="21">
        <f t="shared" ref="B1104:C1104" si="1522">B1132+B1168</f>
        <v>1</v>
      </c>
      <c r="C1104" s="21">
        <f t="shared" si="1522"/>
        <v>3</v>
      </c>
      <c r="D1104" s="21">
        <f t="shared" ref="D1104:E1104" si="1523">D1132+D1168</f>
        <v>0</v>
      </c>
      <c r="E1104" s="21">
        <f t="shared" si="1523"/>
        <v>0</v>
      </c>
      <c r="F1104" s="21">
        <f t="shared" ref="F1104:G1104" si="1524">F1132+F1168</f>
        <v>0</v>
      </c>
      <c r="G1104" s="21">
        <f t="shared" si="1524"/>
        <v>0</v>
      </c>
      <c r="H1104" s="21">
        <f t="shared" ref="H1104:I1104" si="1525">H1132+H1168</f>
        <v>3</v>
      </c>
      <c r="I1104" s="21">
        <f t="shared" si="1525"/>
        <v>1</v>
      </c>
      <c r="J1104" s="21">
        <f t="shared" ref="J1104:K1104" si="1526">J1132+J1168</f>
        <v>0</v>
      </c>
      <c r="K1104" s="21">
        <f t="shared" si="1526"/>
        <v>0</v>
      </c>
      <c r="L1104" s="21">
        <f t="shared" ref="L1104:M1104" si="1527">L1132+L1168</f>
        <v>1</v>
      </c>
      <c r="M1104" s="21">
        <f t="shared" si="1527"/>
        <v>1</v>
      </c>
      <c r="N1104" s="150">
        <f t="shared" si="1466"/>
        <v>10</v>
      </c>
      <c r="O1104" s="22">
        <f t="shared" si="1467"/>
        <v>0.83333333333333337</v>
      </c>
      <c r="P1104" s="8"/>
      <c r="Q1104" s="8"/>
      <c r="R1104" s="8"/>
      <c r="S1104" s="8"/>
      <c r="T1104" s="8"/>
      <c r="U1104" s="8"/>
      <c r="V1104" s="8"/>
      <c r="W1104" s="8"/>
      <c r="X1104" s="8"/>
      <c r="Y1104" s="8"/>
      <c r="Z1104" s="8"/>
    </row>
    <row r="1105" spans="1:26" s="9" customFormat="1" ht="15.75">
      <c r="A1105" s="37" t="s">
        <v>159</v>
      </c>
      <c r="B1105" s="21">
        <f t="shared" ref="B1105:C1105" si="1528">B1133+B1169</f>
        <v>0</v>
      </c>
      <c r="C1105" s="21">
        <f t="shared" si="1528"/>
        <v>0</v>
      </c>
      <c r="D1105" s="21">
        <f t="shared" ref="D1105:E1105" si="1529">D1133+D1169</f>
        <v>1</v>
      </c>
      <c r="E1105" s="21">
        <f t="shared" si="1529"/>
        <v>0</v>
      </c>
      <c r="F1105" s="21">
        <f t="shared" ref="F1105:G1105" si="1530">F1133+F1169</f>
        <v>0</v>
      </c>
      <c r="G1105" s="21">
        <f t="shared" si="1530"/>
        <v>0</v>
      </c>
      <c r="H1105" s="21">
        <f t="shared" ref="H1105:I1105" si="1531">H1133+H1169</f>
        <v>1</v>
      </c>
      <c r="I1105" s="21">
        <f t="shared" si="1531"/>
        <v>0</v>
      </c>
      <c r="J1105" s="21">
        <f t="shared" ref="J1105:K1105" si="1532">J1133+J1169</f>
        <v>0</v>
      </c>
      <c r="K1105" s="21">
        <f t="shared" si="1532"/>
        <v>0</v>
      </c>
      <c r="L1105" s="21">
        <f t="shared" ref="L1105:M1105" si="1533">L1133+L1169</f>
        <v>0</v>
      </c>
      <c r="M1105" s="21">
        <f t="shared" si="1533"/>
        <v>1</v>
      </c>
      <c r="N1105" s="150">
        <f t="shared" si="1466"/>
        <v>3</v>
      </c>
      <c r="O1105" s="22">
        <f t="shared" si="1467"/>
        <v>0.25</v>
      </c>
      <c r="P1105" s="8"/>
      <c r="Q1105" s="8"/>
      <c r="R1105" s="8"/>
      <c r="S1105" s="8"/>
      <c r="T1105" s="8"/>
      <c r="U1105" s="8"/>
      <c r="V1105" s="8"/>
      <c r="W1105" s="8"/>
      <c r="X1105" s="8"/>
      <c r="Y1105" s="8"/>
      <c r="Z1105" s="8"/>
    </row>
    <row r="1106" spans="1:26" s="9" customFormat="1" ht="15.75">
      <c r="A1106" s="37" t="s">
        <v>160</v>
      </c>
      <c r="B1106" s="21">
        <f t="shared" ref="B1106:C1106" si="1534">B1134+B1170</f>
        <v>1</v>
      </c>
      <c r="C1106" s="21">
        <f t="shared" si="1534"/>
        <v>2</v>
      </c>
      <c r="D1106" s="21">
        <f t="shared" ref="D1106:E1106" si="1535">D1134+D1170</f>
        <v>10</v>
      </c>
      <c r="E1106" s="21">
        <f t="shared" si="1535"/>
        <v>5</v>
      </c>
      <c r="F1106" s="21">
        <f t="shared" ref="F1106:G1106" si="1536">F1134+F1170</f>
        <v>8</v>
      </c>
      <c r="G1106" s="21">
        <f t="shared" si="1536"/>
        <v>4</v>
      </c>
      <c r="H1106" s="21">
        <f t="shared" ref="H1106:I1106" si="1537">H1134+H1170</f>
        <v>8</v>
      </c>
      <c r="I1106" s="21">
        <f t="shared" si="1537"/>
        <v>14</v>
      </c>
      <c r="J1106" s="21">
        <f t="shared" ref="J1106:K1106" si="1538">J1134+J1170</f>
        <v>8</v>
      </c>
      <c r="K1106" s="21">
        <f t="shared" si="1538"/>
        <v>15</v>
      </c>
      <c r="L1106" s="21">
        <f t="shared" ref="L1106:M1106" si="1539">L1134+L1170</f>
        <v>18</v>
      </c>
      <c r="M1106" s="21">
        <f t="shared" si="1539"/>
        <v>13</v>
      </c>
      <c r="N1106" s="150">
        <f t="shared" si="1466"/>
        <v>106</v>
      </c>
      <c r="O1106" s="22">
        <f t="shared" si="1467"/>
        <v>8.8333333333333339</v>
      </c>
      <c r="P1106" s="8"/>
      <c r="Q1106" s="8"/>
      <c r="R1106" s="8"/>
      <c r="S1106" s="8"/>
      <c r="T1106" s="8"/>
      <c r="U1106" s="8"/>
      <c r="V1106" s="8"/>
      <c r="W1106" s="8"/>
      <c r="X1106" s="8"/>
      <c r="Y1106" s="8"/>
      <c r="Z1106" s="8"/>
    </row>
    <row r="1107" spans="1:26" s="9" customFormat="1" ht="15.75">
      <c r="A1107" s="37" t="s">
        <v>298</v>
      </c>
      <c r="B1107" s="21">
        <f t="shared" ref="B1107:C1107" si="1540">B1135+B1171</f>
        <v>15</v>
      </c>
      <c r="C1107" s="21">
        <f t="shared" si="1540"/>
        <v>6</v>
      </c>
      <c r="D1107" s="21">
        <f t="shared" ref="D1107:E1107" si="1541">D1135+D1171</f>
        <v>23</v>
      </c>
      <c r="E1107" s="21">
        <f t="shared" si="1541"/>
        <v>9</v>
      </c>
      <c r="F1107" s="21">
        <f t="shared" ref="F1107:G1107" si="1542">F1135+F1171</f>
        <v>20</v>
      </c>
      <c r="G1107" s="21">
        <f t="shared" si="1542"/>
        <v>19</v>
      </c>
      <c r="H1107" s="21">
        <f t="shared" ref="H1107:I1107" si="1543">H1135+H1171</f>
        <v>34</v>
      </c>
      <c r="I1107" s="21">
        <f t="shared" si="1543"/>
        <v>33</v>
      </c>
      <c r="J1107" s="21">
        <f t="shared" ref="J1107:K1107" si="1544">J1135+J1171</f>
        <v>29</v>
      </c>
      <c r="K1107" s="21">
        <f t="shared" si="1544"/>
        <v>32</v>
      </c>
      <c r="L1107" s="21">
        <f t="shared" ref="L1107:M1107" si="1545">L1135+L1171</f>
        <v>29</v>
      </c>
      <c r="M1107" s="21">
        <f t="shared" si="1545"/>
        <v>53</v>
      </c>
      <c r="N1107" s="150">
        <f t="shared" si="1466"/>
        <v>302</v>
      </c>
      <c r="O1107" s="22">
        <f t="shared" si="1467"/>
        <v>25.166666666666668</v>
      </c>
      <c r="P1107" s="8"/>
      <c r="Q1107" s="8"/>
      <c r="R1107" s="8"/>
      <c r="S1107" s="8"/>
      <c r="T1107" s="8"/>
      <c r="U1107" s="8"/>
      <c r="V1107" s="8"/>
      <c r="W1107" s="8"/>
      <c r="X1107" s="8"/>
      <c r="Y1107" s="8"/>
      <c r="Z1107" s="8"/>
    </row>
    <row r="1108" spans="1:26" s="9" customFormat="1" ht="15.75">
      <c r="A1108" s="37" t="s">
        <v>691</v>
      </c>
      <c r="B1108" s="21">
        <f t="shared" ref="B1108:C1108" si="1546">B1136+B1172</f>
        <v>3</v>
      </c>
      <c r="C1108" s="21">
        <f t="shared" si="1546"/>
        <v>4</v>
      </c>
      <c r="D1108" s="21">
        <f t="shared" ref="D1108:E1108" si="1547">D1136+D1172</f>
        <v>6</v>
      </c>
      <c r="E1108" s="21">
        <f t="shared" si="1547"/>
        <v>5</v>
      </c>
      <c r="F1108" s="21">
        <f t="shared" ref="F1108:G1108" si="1548">F1136+F1172</f>
        <v>3</v>
      </c>
      <c r="G1108" s="21">
        <f t="shared" si="1548"/>
        <v>4</v>
      </c>
      <c r="H1108" s="21">
        <f t="shared" ref="H1108:I1108" si="1549">H1136+H1172</f>
        <v>7</v>
      </c>
      <c r="I1108" s="21">
        <f t="shared" si="1549"/>
        <v>4</v>
      </c>
      <c r="J1108" s="21">
        <f t="shared" ref="J1108:K1108" si="1550">J1136+J1172</f>
        <v>13</v>
      </c>
      <c r="K1108" s="21">
        <f t="shared" si="1550"/>
        <v>12</v>
      </c>
      <c r="L1108" s="21">
        <f t="shared" ref="L1108:M1108" si="1551">L1136+L1172</f>
        <v>13</v>
      </c>
      <c r="M1108" s="21">
        <f t="shared" si="1551"/>
        <v>5</v>
      </c>
      <c r="N1108" s="150">
        <f t="shared" si="1466"/>
        <v>79</v>
      </c>
      <c r="O1108" s="22">
        <f t="shared" si="1467"/>
        <v>6.583333333333333</v>
      </c>
      <c r="P1108" s="8"/>
      <c r="Q1108" s="8"/>
      <c r="R1108" s="8"/>
      <c r="S1108" s="8"/>
      <c r="T1108" s="8"/>
      <c r="U1108" s="8"/>
      <c r="V1108" s="8"/>
      <c r="W1108" s="8"/>
      <c r="X1108" s="8"/>
      <c r="Y1108" s="8"/>
      <c r="Z1108" s="8"/>
    </row>
    <row r="1109" spans="1:26" s="9" customFormat="1" ht="15.75">
      <c r="A1109" s="37" t="s">
        <v>161</v>
      </c>
      <c r="B1109" s="21">
        <f t="shared" ref="B1109:C1109" si="1552">B1137+B1173</f>
        <v>3</v>
      </c>
      <c r="C1109" s="21">
        <f t="shared" si="1552"/>
        <v>1</v>
      </c>
      <c r="D1109" s="21">
        <f t="shared" ref="D1109:E1109" si="1553">D1137+D1173</f>
        <v>7</v>
      </c>
      <c r="E1109" s="21">
        <f t="shared" si="1553"/>
        <v>0</v>
      </c>
      <c r="F1109" s="21">
        <f t="shared" ref="F1109:G1109" si="1554">F1137+F1173</f>
        <v>3</v>
      </c>
      <c r="G1109" s="21">
        <f t="shared" si="1554"/>
        <v>1</v>
      </c>
      <c r="H1109" s="21">
        <f t="shared" ref="H1109:I1109" si="1555">H1137+H1173</f>
        <v>2</v>
      </c>
      <c r="I1109" s="21">
        <f t="shared" si="1555"/>
        <v>2</v>
      </c>
      <c r="J1109" s="21">
        <f t="shared" ref="J1109:K1109" si="1556">J1137+J1173</f>
        <v>10</v>
      </c>
      <c r="K1109" s="21">
        <f t="shared" si="1556"/>
        <v>4</v>
      </c>
      <c r="L1109" s="21">
        <f t="shared" ref="L1109:M1109" si="1557">L1137+L1173</f>
        <v>0</v>
      </c>
      <c r="M1109" s="21">
        <f t="shared" si="1557"/>
        <v>1</v>
      </c>
      <c r="N1109" s="150">
        <f t="shared" si="1466"/>
        <v>34</v>
      </c>
      <c r="O1109" s="22">
        <f t="shared" si="1467"/>
        <v>2.8333333333333335</v>
      </c>
      <c r="P1109" s="8"/>
      <c r="Q1109" s="8"/>
      <c r="R1109" s="8"/>
      <c r="S1109" s="8"/>
      <c r="T1109" s="8"/>
      <c r="U1109" s="8"/>
      <c r="V1109" s="8"/>
      <c r="W1109" s="8"/>
      <c r="X1109" s="8"/>
      <c r="Y1109" s="8"/>
      <c r="Z1109" s="8"/>
    </row>
    <row r="1110" spans="1:26" s="9" customFormat="1" ht="15.75">
      <c r="A1110" s="37" t="s">
        <v>689</v>
      </c>
      <c r="B1110" s="21">
        <f t="shared" ref="B1110:C1110" si="1558">B1138+B1174</f>
        <v>3</v>
      </c>
      <c r="C1110" s="21">
        <f t="shared" si="1558"/>
        <v>1</v>
      </c>
      <c r="D1110" s="21">
        <f t="shared" ref="D1110:E1110" si="1559">D1138+D1174</f>
        <v>2</v>
      </c>
      <c r="E1110" s="21">
        <f t="shared" si="1559"/>
        <v>3</v>
      </c>
      <c r="F1110" s="21">
        <f t="shared" ref="F1110:G1110" si="1560">F1138+F1174</f>
        <v>0</v>
      </c>
      <c r="G1110" s="21">
        <f t="shared" si="1560"/>
        <v>0</v>
      </c>
      <c r="H1110" s="21">
        <f t="shared" ref="H1110:I1110" si="1561">H1138+H1174</f>
        <v>1</v>
      </c>
      <c r="I1110" s="21">
        <f t="shared" si="1561"/>
        <v>1</v>
      </c>
      <c r="J1110" s="21">
        <f t="shared" ref="J1110:K1110" si="1562">J1138+J1174</f>
        <v>1</v>
      </c>
      <c r="K1110" s="21">
        <f t="shared" si="1562"/>
        <v>1</v>
      </c>
      <c r="L1110" s="21">
        <f t="shared" ref="L1110:M1110" si="1563">L1138+L1174</f>
        <v>1</v>
      </c>
      <c r="M1110" s="21">
        <f t="shared" si="1563"/>
        <v>0</v>
      </c>
      <c r="N1110" s="150">
        <f t="shared" si="1466"/>
        <v>14</v>
      </c>
      <c r="O1110" s="22">
        <f t="shared" si="1467"/>
        <v>1.1666666666666667</v>
      </c>
      <c r="P1110" s="8"/>
      <c r="Q1110" s="8"/>
      <c r="R1110" s="8"/>
      <c r="S1110" s="8"/>
      <c r="T1110" s="8"/>
      <c r="U1110" s="8"/>
      <c r="V1110" s="8"/>
      <c r="W1110" s="8"/>
      <c r="X1110" s="8"/>
      <c r="Y1110" s="8"/>
      <c r="Z1110" s="8"/>
    </row>
    <row r="1111" spans="1:26" s="9" customFormat="1" ht="15.75">
      <c r="A1111" s="37" t="s">
        <v>162</v>
      </c>
      <c r="B1111" s="21">
        <f t="shared" ref="B1111:C1111" si="1564">B1139+B1175</f>
        <v>5</v>
      </c>
      <c r="C1111" s="21">
        <f t="shared" si="1564"/>
        <v>4</v>
      </c>
      <c r="D1111" s="21">
        <f t="shared" ref="D1111:E1111" si="1565">D1139+D1175</f>
        <v>6</v>
      </c>
      <c r="E1111" s="21">
        <f t="shared" si="1565"/>
        <v>6</v>
      </c>
      <c r="F1111" s="21">
        <f t="shared" ref="F1111:G1111" si="1566">F1139+F1175</f>
        <v>10</v>
      </c>
      <c r="G1111" s="21">
        <f t="shared" si="1566"/>
        <v>2</v>
      </c>
      <c r="H1111" s="21">
        <f t="shared" ref="H1111:I1111" si="1567">H1139+H1175</f>
        <v>17</v>
      </c>
      <c r="I1111" s="21">
        <f t="shared" si="1567"/>
        <v>15</v>
      </c>
      <c r="J1111" s="21">
        <f t="shared" ref="J1111:K1111" si="1568">J1139+J1175</f>
        <v>6</v>
      </c>
      <c r="K1111" s="21">
        <f t="shared" si="1568"/>
        <v>7</v>
      </c>
      <c r="L1111" s="21">
        <f t="shared" ref="L1111:M1111" si="1569">L1139+L1175</f>
        <v>16</v>
      </c>
      <c r="M1111" s="21">
        <f t="shared" si="1569"/>
        <v>14</v>
      </c>
      <c r="N1111" s="150">
        <f t="shared" si="1466"/>
        <v>108</v>
      </c>
      <c r="O1111" s="22">
        <f t="shared" si="1467"/>
        <v>9</v>
      </c>
      <c r="P1111" s="8"/>
      <c r="Q1111" s="8"/>
      <c r="R1111" s="8"/>
      <c r="S1111" s="8"/>
      <c r="T1111" s="8"/>
      <c r="U1111" s="8"/>
      <c r="V1111" s="8"/>
      <c r="W1111" s="8"/>
      <c r="X1111" s="8"/>
      <c r="Y1111" s="8"/>
      <c r="Z1111" s="8"/>
    </row>
    <row r="1112" spans="1:26" s="9" customFormat="1" ht="15.75">
      <c r="A1112" s="37" t="s">
        <v>163</v>
      </c>
      <c r="B1112" s="21">
        <f t="shared" ref="B1112:C1112" si="1570">B1140+B1176</f>
        <v>1</v>
      </c>
      <c r="C1112" s="21">
        <f t="shared" si="1570"/>
        <v>1</v>
      </c>
      <c r="D1112" s="21">
        <f t="shared" ref="D1112:E1112" si="1571">D1140+D1176</f>
        <v>5</v>
      </c>
      <c r="E1112" s="21">
        <f t="shared" si="1571"/>
        <v>2</v>
      </c>
      <c r="F1112" s="21">
        <f t="shared" ref="F1112:G1112" si="1572">F1140+F1176</f>
        <v>2</v>
      </c>
      <c r="G1112" s="21">
        <f t="shared" si="1572"/>
        <v>3</v>
      </c>
      <c r="H1112" s="21">
        <f t="shared" ref="H1112:I1112" si="1573">H1140+H1176</f>
        <v>3</v>
      </c>
      <c r="I1112" s="21">
        <f t="shared" si="1573"/>
        <v>5</v>
      </c>
      <c r="J1112" s="21">
        <f t="shared" ref="J1112:K1112" si="1574">J1140+J1176</f>
        <v>4</v>
      </c>
      <c r="K1112" s="21">
        <f t="shared" si="1574"/>
        <v>4</v>
      </c>
      <c r="L1112" s="21">
        <f t="shared" ref="L1112:M1112" si="1575">L1140+L1176</f>
        <v>3</v>
      </c>
      <c r="M1112" s="21">
        <f t="shared" si="1575"/>
        <v>2</v>
      </c>
      <c r="N1112" s="150">
        <f t="shared" si="1466"/>
        <v>35</v>
      </c>
      <c r="O1112" s="22">
        <f t="shared" si="1467"/>
        <v>2.9166666666666665</v>
      </c>
      <c r="P1112" s="8"/>
      <c r="Q1112" s="8"/>
      <c r="R1112" s="8"/>
      <c r="S1112" s="8"/>
      <c r="T1112" s="8"/>
      <c r="U1112" s="8"/>
      <c r="V1112" s="8"/>
      <c r="W1112" s="8"/>
      <c r="X1112" s="8"/>
      <c r="Y1112" s="8"/>
      <c r="Z1112" s="8"/>
    </row>
    <row r="1113" spans="1:26" s="9" customFormat="1" ht="15.75">
      <c r="A1113" s="37" t="s">
        <v>693</v>
      </c>
      <c r="B1113" s="21">
        <f t="shared" ref="B1113:C1113" si="1576">B1141+B1177</f>
        <v>0</v>
      </c>
      <c r="C1113" s="21">
        <f t="shared" si="1576"/>
        <v>1</v>
      </c>
      <c r="D1113" s="21">
        <f t="shared" ref="D1113:E1113" si="1577">D1141+D1177</f>
        <v>1</v>
      </c>
      <c r="E1113" s="21">
        <f t="shared" si="1577"/>
        <v>0</v>
      </c>
      <c r="F1113" s="21">
        <f t="shared" ref="F1113:G1113" si="1578">F1141+F1177</f>
        <v>0</v>
      </c>
      <c r="G1113" s="21">
        <f t="shared" si="1578"/>
        <v>1</v>
      </c>
      <c r="H1113" s="21">
        <f t="shared" ref="H1113:I1113" si="1579">H1141+H1177</f>
        <v>1</v>
      </c>
      <c r="I1113" s="21">
        <f t="shared" si="1579"/>
        <v>0</v>
      </c>
      <c r="J1113" s="21">
        <f t="shared" ref="J1113:K1113" si="1580">J1141+J1177</f>
        <v>1</v>
      </c>
      <c r="K1113" s="21">
        <f t="shared" si="1580"/>
        <v>0</v>
      </c>
      <c r="L1113" s="21">
        <f t="shared" ref="L1113:M1113" si="1581">L1141+L1177</f>
        <v>0</v>
      </c>
      <c r="M1113" s="21">
        <f t="shared" si="1581"/>
        <v>0</v>
      </c>
      <c r="N1113" s="150">
        <f t="shared" si="1466"/>
        <v>5</v>
      </c>
      <c r="O1113" s="22">
        <f t="shared" si="1467"/>
        <v>0.41666666666666669</v>
      </c>
      <c r="P1113" s="8"/>
      <c r="Q1113" s="8"/>
      <c r="R1113" s="8"/>
      <c r="S1113" s="8"/>
      <c r="T1113" s="8"/>
      <c r="U1113" s="8"/>
      <c r="V1113" s="8"/>
      <c r="W1113" s="8"/>
      <c r="X1113" s="8"/>
      <c r="Y1113" s="8"/>
      <c r="Z1113" s="8"/>
    </row>
    <row r="1114" spans="1:26" s="9" customFormat="1" ht="15.75">
      <c r="A1114" s="37" t="s">
        <v>164</v>
      </c>
      <c r="B1114" s="21">
        <f t="shared" ref="B1114:C1114" si="1582">B1142+B1178</f>
        <v>371</v>
      </c>
      <c r="C1114" s="21">
        <f t="shared" si="1582"/>
        <v>362</v>
      </c>
      <c r="D1114" s="21">
        <f t="shared" ref="D1114:E1114" si="1583">D1142+D1178</f>
        <v>409</v>
      </c>
      <c r="E1114" s="21">
        <f t="shared" si="1583"/>
        <v>273</v>
      </c>
      <c r="F1114" s="21">
        <f t="shared" ref="F1114:G1114" si="1584">F1142+F1178</f>
        <v>277</v>
      </c>
      <c r="G1114" s="21">
        <f t="shared" si="1584"/>
        <v>333</v>
      </c>
      <c r="H1114" s="21">
        <f t="shared" ref="H1114:I1114" si="1585">H1142+H1178</f>
        <v>429</v>
      </c>
      <c r="I1114" s="21">
        <f t="shared" si="1585"/>
        <v>504</v>
      </c>
      <c r="J1114" s="21">
        <f t="shared" ref="J1114:K1114" si="1586">J1142+J1178</f>
        <v>491</v>
      </c>
      <c r="K1114" s="21">
        <f t="shared" si="1586"/>
        <v>411</v>
      </c>
      <c r="L1114" s="21">
        <f t="shared" ref="L1114:M1114" si="1587">L1142+L1178</f>
        <v>441</v>
      </c>
      <c r="M1114" s="21">
        <f t="shared" si="1587"/>
        <v>457</v>
      </c>
      <c r="N1114" s="150">
        <f t="shared" si="1466"/>
        <v>4758</v>
      </c>
      <c r="O1114" s="22">
        <f t="shared" si="1467"/>
        <v>396.5</v>
      </c>
      <c r="P1114" s="8"/>
      <c r="Q1114" s="8"/>
      <c r="R1114" s="8"/>
      <c r="S1114" s="8"/>
      <c r="T1114" s="8"/>
      <c r="U1114" s="8"/>
      <c r="V1114" s="8"/>
      <c r="W1114" s="8"/>
      <c r="X1114" s="8"/>
      <c r="Y1114" s="8"/>
      <c r="Z1114" s="8"/>
    </row>
    <row r="1115" spans="1:26" s="9" customFormat="1" ht="15.75">
      <c r="A1115" s="37" t="s">
        <v>165</v>
      </c>
      <c r="B1115" s="21">
        <f t="shared" ref="B1115:C1115" si="1588">B1143+B1179</f>
        <v>3</v>
      </c>
      <c r="C1115" s="21">
        <f t="shared" si="1588"/>
        <v>4</v>
      </c>
      <c r="D1115" s="21">
        <f t="shared" ref="D1115:E1115" si="1589">D1143+D1179</f>
        <v>7</v>
      </c>
      <c r="E1115" s="21">
        <f t="shared" si="1589"/>
        <v>2</v>
      </c>
      <c r="F1115" s="21">
        <f t="shared" ref="F1115:G1115" si="1590">F1143+F1179</f>
        <v>2</v>
      </c>
      <c r="G1115" s="21">
        <f t="shared" si="1590"/>
        <v>4</v>
      </c>
      <c r="H1115" s="21">
        <f t="shared" ref="H1115:I1115" si="1591">H1143+H1179</f>
        <v>7</v>
      </c>
      <c r="I1115" s="21">
        <f t="shared" si="1591"/>
        <v>9</v>
      </c>
      <c r="J1115" s="21">
        <f t="shared" ref="J1115:K1115" si="1592">J1143+J1179</f>
        <v>5</v>
      </c>
      <c r="K1115" s="21">
        <f t="shared" si="1592"/>
        <v>12</v>
      </c>
      <c r="L1115" s="21">
        <f t="shared" ref="L1115:M1115" si="1593">L1143+L1179</f>
        <v>11</v>
      </c>
      <c r="M1115" s="21">
        <f t="shared" si="1593"/>
        <v>12</v>
      </c>
      <c r="N1115" s="150">
        <f t="shared" si="1466"/>
        <v>78</v>
      </c>
      <c r="O1115" s="22">
        <f t="shared" si="1467"/>
        <v>6.5</v>
      </c>
      <c r="P1115" s="8"/>
      <c r="Q1115" s="8"/>
      <c r="R1115" s="8"/>
      <c r="S1115" s="8"/>
      <c r="T1115" s="8"/>
      <c r="U1115" s="8"/>
      <c r="V1115" s="8"/>
      <c r="W1115" s="8"/>
      <c r="X1115" s="8"/>
      <c r="Y1115" s="8"/>
      <c r="Z1115" s="8"/>
    </row>
    <row r="1116" spans="1:26" s="9" customFormat="1" ht="15.75">
      <c r="A1116" s="37" t="s">
        <v>22</v>
      </c>
      <c r="B1116" s="21">
        <f t="shared" ref="B1116:C1116" si="1594">B1144+B1180</f>
        <v>10</v>
      </c>
      <c r="C1116" s="21">
        <f t="shared" si="1594"/>
        <v>2</v>
      </c>
      <c r="D1116" s="21">
        <f t="shared" ref="D1116:E1116" si="1595">D1144+D1180</f>
        <v>12</v>
      </c>
      <c r="E1116" s="21">
        <f t="shared" si="1595"/>
        <v>0</v>
      </c>
      <c r="F1116" s="21">
        <f t="shared" ref="F1116:G1116" si="1596">F1144+F1180</f>
        <v>4</v>
      </c>
      <c r="G1116" s="21">
        <f t="shared" si="1596"/>
        <v>6</v>
      </c>
      <c r="H1116" s="21">
        <f t="shared" ref="H1116:I1116" si="1597">H1144+H1180</f>
        <v>6</v>
      </c>
      <c r="I1116" s="21">
        <f t="shared" si="1597"/>
        <v>1</v>
      </c>
      <c r="J1116" s="21">
        <f t="shared" ref="J1116:K1116" si="1598">J1144+J1180</f>
        <v>4</v>
      </c>
      <c r="K1116" s="21">
        <f t="shared" si="1598"/>
        <v>7</v>
      </c>
      <c r="L1116" s="21">
        <f t="shared" ref="L1116:M1116" si="1599">L1144+L1180</f>
        <v>2</v>
      </c>
      <c r="M1116" s="21">
        <f t="shared" si="1599"/>
        <v>0</v>
      </c>
      <c r="N1116" s="150">
        <f t="shared" si="1466"/>
        <v>54</v>
      </c>
      <c r="O1116" s="22">
        <f t="shared" si="1467"/>
        <v>4.5</v>
      </c>
      <c r="P1116" s="8"/>
      <c r="Q1116" s="8"/>
      <c r="R1116" s="8"/>
      <c r="S1116" s="8"/>
      <c r="T1116" s="8"/>
      <c r="U1116" s="8"/>
      <c r="V1116" s="8"/>
      <c r="W1116" s="8"/>
      <c r="X1116" s="8"/>
      <c r="Y1116" s="8"/>
      <c r="Z1116" s="8"/>
    </row>
    <row r="1117" spans="1:26" s="9" customFormat="1" ht="15.75">
      <c r="A1117" s="62" t="s">
        <v>21</v>
      </c>
      <c r="B1117" s="24">
        <f t="shared" ref="B1117:G1117" si="1600">SUM(B1093:B1116)</f>
        <v>436</v>
      </c>
      <c r="C1117" s="24">
        <f t="shared" si="1600"/>
        <v>401</v>
      </c>
      <c r="D1117" s="24">
        <f t="shared" si="1600"/>
        <v>516</v>
      </c>
      <c r="E1117" s="24">
        <f t="shared" si="1600"/>
        <v>316</v>
      </c>
      <c r="F1117" s="24">
        <f t="shared" si="1600"/>
        <v>342</v>
      </c>
      <c r="G1117" s="24">
        <f t="shared" si="1600"/>
        <v>403</v>
      </c>
      <c r="H1117" s="24">
        <f t="shared" ref="H1117:I1117" si="1601">SUM(H1093:H1116)</f>
        <v>548</v>
      </c>
      <c r="I1117" s="24">
        <f t="shared" si="1601"/>
        <v>630</v>
      </c>
      <c r="J1117" s="24">
        <f t="shared" ref="J1117:K1117" si="1602">SUM(J1093:J1116)</f>
        <v>619</v>
      </c>
      <c r="K1117" s="24">
        <f t="shared" si="1602"/>
        <v>537</v>
      </c>
      <c r="L1117" s="24">
        <f t="shared" ref="L1117:M1117" si="1603">SUM(L1093:L1116)</f>
        <v>592</v>
      </c>
      <c r="M1117" s="24">
        <f t="shared" si="1603"/>
        <v>576</v>
      </c>
      <c r="N1117" s="144">
        <f>SUM(N1093:N1116)</f>
        <v>5916</v>
      </c>
      <c r="O1117" s="25">
        <f>SUM(O1093:O1116)</f>
        <v>493</v>
      </c>
      <c r="P1117" s="8"/>
      <c r="Q1117" s="8"/>
      <c r="R1117" s="8"/>
      <c r="S1117" s="8"/>
      <c r="T1117" s="8"/>
      <c r="U1117" s="8"/>
      <c r="V1117" s="8"/>
      <c r="W1117" s="8"/>
      <c r="X1117" s="8"/>
      <c r="Y1117" s="8"/>
      <c r="Z1117" s="8"/>
    </row>
    <row r="1118" spans="1:26" s="9" customFormat="1" ht="15.75">
      <c r="A1118" s="62" t="s">
        <v>112</v>
      </c>
      <c r="B1118" s="25">
        <f t="shared" ref="B1118:G1118" si="1604">IF(B1117=0,"",B1117/B$1870)</f>
        <v>14.064516129032258</v>
      </c>
      <c r="C1118" s="25">
        <f t="shared" si="1604"/>
        <v>14.321428571428571</v>
      </c>
      <c r="D1118" s="25">
        <f t="shared" si="1604"/>
        <v>16.64516129032258</v>
      </c>
      <c r="E1118" s="25">
        <f t="shared" si="1604"/>
        <v>10.533333333333333</v>
      </c>
      <c r="F1118" s="25">
        <f t="shared" si="1604"/>
        <v>11.03225806451613</v>
      </c>
      <c r="G1118" s="25">
        <f t="shared" si="1604"/>
        <v>13.433333333333334</v>
      </c>
      <c r="H1118" s="25">
        <f t="shared" ref="H1118:I1118" si="1605">IF(H1117=0,"",H1117/H$1870)</f>
        <v>17.677419354838708</v>
      </c>
      <c r="I1118" s="25">
        <f t="shared" si="1605"/>
        <v>20.322580645161292</v>
      </c>
      <c r="J1118" s="25">
        <f t="shared" ref="J1118:K1118" si="1606">IF(J1117=0,"",J1117/J$1870)</f>
        <v>20.633333333333333</v>
      </c>
      <c r="K1118" s="25">
        <f t="shared" si="1606"/>
        <v>17.322580645161292</v>
      </c>
      <c r="L1118" s="25">
        <f t="shared" ref="L1118:M1118" si="1607">IF(L1117=0,"",L1117/L$1870)</f>
        <v>19.733333333333334</v>
      </c>
      <c r="M1118" s="25">
        <f t="shared" si="1607"/>
        <v>18.580645161290324</v>
      </c>
      <c r="N1118" s="144">
        <f>SUM(B1118:M1118)</f>
        <v>194.29992319508452</v>
      </c>
      <c r="O1118" s="25">
        <f>IF(N1118=0,0,AVERAGE(B1118:M1118))</f>
        <v>16.191660266257042</v>
      </c>
      <c r="P1118" s="8"/>
      <c r="Q1118" s="8"/>
      <c r="R1118" s="8"/>
      <c r="S1118" s="8"/>
      <c r="T1118" s="8"/>
      <c r="U1118" s="8"/>
      <c r="V1118" s="8"/>
      <c r="W1118" s="8"/>
      <c r="X1118" s="8"/>
      <c r="Y1118" s="8"/>
      <c r="Z1118" s="8"/>
    </row>
    <row r="1119" spans="1:26" s="9" customFormat="1">
      <c r="A1119" s="26"/>
      <c r="B1119" s="27"/>
      <c r="C1119" s="27"/>
      <c r="D1119" s="27"/>
      <c r="E1119" s="28"/>
      <c r="F1119" s="28"/>
      <c r="G1119" s="28"/>
      <c r="H1119" s="28"/>
      <c r="I1119" s="28"/>
      <c r="J1119" s="28"/>
      <c r="K1119" s="28"/>
      <c r="L1119" s="28"/>
      <c r="M1119" s="28"/>
      <c r="N1119" s="151"/>
      <c r="O1119" s="16"/>
      <c r="P1119" s="8"/>
      <c r="Q1119" s="8"/>
      <c r="R1119" s="8"/>
      <c r="S1119" s="8"/>
      <c r="T1119" s="8"/>
      <c r="U1119" s="8"/>
      <c r="V1119" s="8"/>
      <c r="W1119" s="8"/>
      <c r="X1119" s="8"/>
      <c r="Y1119" s="8"/>
      <c r="Z1119" s="8"/>
    </row>
    <row r="1120" spans="1:26" s="9" customFormat="1" ht="15.75">
      <c r="A1120" s="66" t="s">
        <v>704</v>
      </c>
      <c r="B1120" s="81"/>
      <c r="C1120" s="81"/>
      <c r="D1120" s="81"/>
      <c r="E1120" s="81"/>
      <c r="F1120" s="81"/>
      <c r="G1120" s="81"/>
      <c r="H1120" s="81"/>
      <c r="I1120" s="81"/>
      <c r="J1120" s="81"/>
      <c r="K1120" s="81"/>
      <c r="L1120" s="81"/>
      <c r="M1120" s="81"/>
      <c r="N1120" s="165"/>
      <c r="O1120" s="82"/>
      <c r="P1120" s="8"/>
      <c r="Q1120" s="8"/>
      <c r="R1120" s="8"/>
      <c r="S1120" s="8"/>
      <c r="T1120" s="8"/>
      <c r="U1120" s="8"/>
      <c r="V1120" s="8"/>
      <c r="W1120" s="8"/>
      <c r="X1120" s="8"/>
      <c r="Y1120" s="8"/>
      <c r="Z1120" s="8"/>
    </row>
    <row r="1121" spans="1:26" s="9" customFormat="1" ht="15.75">
      <c r="A1121" s="113" t="s">
        <v>415</v>
      </c>
      <c r="B1121" s="21">
        <v>1</v>
      </c>
      <c r="C1121" s="21">
        <v>0</v>
      </c>
      <c r="D1121" s="21">
        <v>0</v>
      </c>
      <c r="E1121" s="21">
        <v>0</v>
      </c>
      <c r="F1121" s="21">
        <v>1</v>
      </c>
      <c r="G1121" s="21">
        <v>0</v>
      </c>
      <c r="H1121" s="21">
        <v>1</v>
      </c>
      <c r="I1121" s="21">
        <v>0</v>
      </c>
      <c r="J1121" s="21">
        <v>1</v>
      </c>
      <c r="K1121" s="21">
        <v>1</v>
      </c>
      <c r="L1121" s="21">
        <v>0</v>
      </c>
      <c r="M1121" s="21">
        <v>0</v>
      </c>
      <c r="N1121" s="150">
        <f t="shared" ref="N1121:N1144" si="1608">SUM(B1121:M1121)</f>
        <v>5</v>
      </c>
      <c r="O1121" s="22">
        <f t="shared" ref="O1121:O1144" si="1609">IF(N1121=0,0,AVERAGE(B1121:M1121))</f>
        <v>0.41666666666666669</v>
      </c>
      <c r="P1121" s="8"/>
      <c r="Q1121" s="8"/>
      <c r="R1121" s="8"/>
      <c r="S1121" s="8"/>
      <c r="T1121" s="8"/>
      <c r="U1121" s="8"/>
      <c r="V1121" s="8"/>
      <c r="W1121" s="8"/>
      <c r="X1121" s="8"/>
      <c r="Y1121" s="8"/>
      <c r="Z1121" s="8"/>
    </row>
    <row r="1122" spans="1:26" s="9" customFormat="1" ht="15.75">
      <c r="A1122" s="113" t="s">
        <v>686</v>
      </c>
      <c r="B1122" s="21">
        <v>2</v>
      </c>
      <c r="C1122" s="21">
        <v>3</v>
      </c>
      <c r="D1122" s="21">
        <v>1</v>
      </c>
      <c r="E1122" s="21">
        <v>0</v>
      </c>
      <c r="F1122" s="21">
        <v>2</v>
      </c>
      <c r="G1122" s="21">
        <v>2</v>
      </c>
      <c r="H1122" s="21">
        <v>5</v>
      </c>
      <c r="I1122" s="21">
        <v>12</v>
      </c>
      <c r="J1122" s="21">
        <f>4+2</f>
        <v>6</v>
      </c>
      <c r="K1122" s="21">
        <f>1+1</f>
        <v>2</v>
      </c>
      <c r="L1122" s="21">
        <v>7</v>
      </c>
      <c r="M1122" s="21">
        <f>2</f>
        <v>2</v>
      </c>
      <c r="N1122" s="150">
        <f t="shared" si="1608"/>
        <v>44</v>
      </c>
      <c r="O1122" s="22">
        <f t="shared" si="1609"/>
        <v>3.6666666666666665</v>
      </c>
      <c r="P1122" s="8"/>
      <c r="Q1122" s="8"/>
      <c r="R1122" s="8"/>
      <c r="S1122" s="8"/>
      <c r="T1122" s="8"/>
      <c r="U1122" s="8"/>
      <c r="V1122" s="8"/>
      <c r="W1122" s="8"/>
      <c r="X1122" s="8"/>
      <c r="Y1122" s="8"/>
      <c r="Z1122" s="8"/>
    </row>
    <row r="1123" spans="1:26" s="9" customFormat="1" ht="15.75">
      <c r="A1123" s="113" t="s">
        <v>687</v>
      </c>
      <c r="B1123" s="21">
        <v>0</v>
      </c>
      <c r="C1123" s="21">
        <v>0</v>
      </c>
      <c r="D1123" s="21">
        <v>0</v>
      </c>
      <c r="E1123" s="21">
        <v>0</v>
      </c>
      <c r="F1123" s="21">
        <v>0</v>
      </c>
      <c r="G1123" s="21">
        <v>0</v>
      </c>
      <c r="H1123" s="21">
        <v>0</v>
      </c>
      <c r="I1123" s="21">
        <v>1</v>
      </c>
      <c r="J1123" s="21">
        <v>0</v>
      </c>
      <c r="K1123" s="21">
        <v>0</v>
      </c>
      <c r="L1123" s="21">
        <v>0</v>
      </c>
      <c r="M1123" s="21">
        <v>0</v>
      </c>
      <c r="N1123" s="150">
        <f t="shared" si="1608"/>
        <v>1</v>
      </c>
      <c r="O1123" s="22">
        <f t="shared" si="1609"/>
        <v>8.3333333333333329E-2</v>
      </c>
      <c r="P1123" s="8"/>
      <c r="Q1123" s="8"/>
      <c r="R1123" s="8"/>
      <c r="S1123" s="8"/>
      <c r="T1123" s="8"/>
      <c r="U1123" s="8"/>
      <c r="V1123" s="8"/>
      <c r="W1123" s="8"/>
      <c r="X1123" s="8"/>
      <c r="Y1123" s="8"/>
      <c r="Z1123" s="8"/>
    </row>
    <row r="1124" spans="1:26" s="9" customFormat="1" ht="15.75">
      <c r="A1124" s="113" t="s">
        <v>688</v>
      </c>
      <c r="B1124" s="21">
        <v>0</v>
      </c>
      <c r="C1124" s="21">
        <v>0</v>
      </c>
      <c r="D1124" s="21">
        <v>0</v>
      </c>
      <c r="E1124" s="21">
        <v>0</v>
      </c>
      <c r="F1124" s="21">
        <v>0</v>
      </c>
      <c r="G1124" s="21">
        <v>0</v>
      </c>
      <c r="H1124" s="21">
        <v>0</v>
      </c>
      <c r="I1124" s="21">
        <v>0</v>
      </c>
      <c r="J1124" s="21">
        <v>0</v>
      </c>
      <c r="K1124" s="21">
        <v>0</v>
      </c>
      <c r="L1124" s="21">
        <v>0</v>
      </c>
      <c r="M1124" s="21">
        <v>0</v>
      </c>
      <c r="N1124" s="150">
        <f t="shared" si="1608"/>
        <v>0</v>
      </c>
      <c r="O1124" s="22">
        <f t="shared" si="1609"/>
        <v>0</v>
      </c>
      <c r="P1124" s="8"/>
      <c r="Q1124" s="8"/>
      <c r="R1124" s="8"/>
      <c r="S1124" s="8"/>
      <c r="T1124" s="8"/>
      <c r="U1124" s="8"/>
      <c r="V1124" s="8"/>
      <c r="W1124" s="8"/>
      <c r="X1124" s="8"/>
      <c r="Y1124" s="8"/>
      <c r="Z1124" s="8"/>
    </row>
    <row r="1125" spans="1:26" s="9" customFormat="1" ht="15.75">
      <c r="A1125" s="113" t="s">
        <v>694</v>
      </c>
      <c r="B1125" s="21">
        <v>0</v>
      </c>
      <c r="C1125" s="21">
        <v>0</v>
      </c>
      <c r="D1125" s="21">
        <v>0</v>
      </c>
      <c r="E1125" s="21">
        <v>0</v>
      </c>
      <c r="F1125" s="21">
        <v>2</v>
      </c>
      <c r="G1125" s="21">
        <v>0</v>
      </c>
      <c r="H1125" s="21">
        <v>0</v>
      </c>
      <c r="I1125" s="21">
        <v>0</v>
      </c>
      <c r="J1125" s="21">
        <v>0</v>
      </c>
      <c r="K1125" s="21">
        <v>0</v>
      </c>
      <c r="L1125" s="21">
        <v>0</v>
      </c>
      <c r="M1125" s="21">
        <v>0</v>
      </c>
      <c r="N1125" s="150">
        <f t="shared" si="1608"/>
        <v>2</v>
      </c>
      <c r="O1125" s="22">
        <f t="shared" si="1609"/>
        <v>0.16666666666666666</v>
      </c>
      <c r="P1125" s="8"/>
      <c r="Q1125" s="8"/>
      <c r="R1125" s="8"/>
      <c r="S1125" s="8"/>
      <c r="T1125" s="8"/>
      <c r="U1125" s="8"/>
      <c r="V1125" s="8"/>
      <c r="W1125" s="8"/>
      <c r="X1125" s="8"/>
      <c r="Y1125" s="8"/>
      <c r="Z1125" s="8"/>
    </row>
    <row r="1126" spans="1:26" s="9" customFormat="1" ht="15.75">
      <c r="A1126" s="113" t="s">
        <v>692</v>
      </c>
      <c r="B1126" s="21">
        <v>0</v>
      </c>
      <c r="C1126" s="21">
        <v>0</v>
      </c>
      <c r="D1126" s="21">
        <v>0</v>
      </c>
      <c r="E1126" s="21">
        <v>0</v>
      </c>
      <c r="F1126" s="21">
        <v>0</v>
      </c>
      <c r="G1126" s="21">
        <v>1</v>
      </c>
      <c r="H1126" s="21">
        <v>1</v>
      </c>
      <c r="I1126" s="21">
        <v>2</v>
      </c>
      <c r="J1126" s="21">
        <v>0</v>
      </c>
      <c r="K1126" s="21">
        <v>0</v>
      </c>
      <c r="L1126" s="21">
        <v>0</v>
      </c>
      <c r="M1126" s="21">
        <v>0</v>
      </c>
      <c r="N1126" s="150">
        <f t="shared" si="1608"/>
        <v>4</v>
      </c>
      <c r="O1126" s="22">
        <f t="shared" si="1609"/>
        <v>0.33333333333333331</v>
      </c>
      <c r="P1126" s="8"/>
      <c r="Q1126" s="8"/>
      <c r="R1126" s="8"/>
      <c r="S1126" s="8"/>
      <c r="T1126" s="8"/>
      <c r="U1126" s="8"/>
      <c r="V1126" s="8"/>
      <c r="W1126" s="8"/>
      <c r="X1126" s="8"/>
      <c r="Y1126" s="8"/>
      <c r="Z1126" s="8"/>
    </row>
    <row r="1127" spans="1:26" s="9" customFormat="1" ht="15.75">
      <c r="A1127" s="37" t="s">
        <v>157</v>
      </c>
      <c r="B1127" s="21">
        <v>0</v>
      </c>
      <c r="C1127" s="21">
        <v>0</v>
      </c>
      <c r="D1127" s="21">
        <v>0</v>
      </c>
      <c r="E1127" s="21">
        <v>0</v>
      </c>
      <c r="F1127" s="21">
        <v>0</v>
      </c>
      <c r="G1127" s="21">
        <v>0</v>
      </c>
      <c r="H1127" s="21">
        <v>0</v>
      </c>
      <c r="I1127" s="21">
        <v>0</v>
      </c>
      <c r="J1127" s="21">
        <v>1</v>
      </c>
      <c r="K1127" s="21">
        <v>1</v>
      </c>
      <c r="L1127" s="21">
        <v>0</v>
      </c>
      <c r="M1127" s="21">
        <v>0</v>
      </c>
      <c r="N1127" s="150">
        <f t="shared" si="1608"/>
        <v>2</v>
      </c>
      <c r="O1127" s="22">
        <f t="shared" si="1609"/>
        <v>0.16666666666666666</v>
      </c>
      <c r="P1127" s="8"/>
      <c r="Q1127" s="8"/>
      <c r="R1127" s="8"/>
      <c r="S1127" s="8"/>
      <c r="T1127" s="8"/>
      <c r="U1127" s="8"/>
      <c r="V1127" s="8"/>
      <c r="W1127" s="8"/>
      <c r="X1127" s="8"/>
      <c r="Y1127" s="8"/>
      <c r="Z1127" s="8"/>
    </row>
    <row r="1128" spans="1:26" s="9" customFormat="1" ht="15.75">
      <c r="A1128" s="37" t="s">
        <v>678</v>
      </c>
      <c r="B1128" s="21">
        <v>1</v>
      </c>
      <c r="C1128" s="21">
        <v>0</v>
      </c>
      <c r="D1128" s="21">
        <v>2</v>
      </c>
      <c r="E1128" s="21">
        <v>0</v>
      </c>
      <c r="F1128" s="21">
        <v>0</v>
      </c>
      <c r="G1128" s="21">
        <v>0</v>
      </c>
      <c r="H1128" s="21">
        <v>0</v>
      </c>
      <c r="I1128" s="21">
        <v>1</v>
      </c>
      <c r="J1128" s="21">
        <v>2</v>
      </c>
      <c r="K1128" s="21">
        <v>0</v>
      </c>
      <c r="L1128" s="21">
        <v>0</v>
      </c>
      <c r="M1128" s="21">
        <f>1</f>
        <v>1</v>
      </c>
      <c r="N1128" s="150">
        <f t="shared" ref="N1128:N1137" si="1610">SUM(B1128:M1128)</f>
        <v>7</v>
      </c>
      <c r="O1128" s="22">
        <f t="shared" ref="O1128:O1137" si="1611">IF(N1128=0,0,AVERAGE(B1128:M1128))</f>
        <v>0.58333333333333337</v>
      </c>
      <c r="P1128" s="8"/>
      <c r="Q1128" s="8"/>
      <c r="R1128" s="8"/>
      <c r="S1128" s="8"/>
      <c r="T1128" s="8"/>
      <c r="U1128" s="8"/>
      <c r="V1128" s="8"/>
      <c r="W1128" s="8"/>
      <c r="X1128" s="8"/>
      <c r="Y1128" s="8"/>
      <c r="Z1128" s="8"/>
    </row>
    <row r="1129" spans="1:26" s="9" customFormat="1" ht="15.75">
      <c r="A1129" s="37" t="s">
        <v>411</v>
      </c>
      <c r="B1129" s="21">
        <v>0</v>
      </c>
      <c r="C1129" s="21">
        <v>0</v>
      </c>
      <c r="D1129" s="21">
        <v>0</v>
      </c>
      <c r="E1129" s="21">
        <v>0</v>
      </c>
      <c r="F1129" s="21">
        <v>0</v>
      </c>
      <c r="G1129" s="21">
        <v>0</v>
      </c>
      <c r="H1129" s="21">
        <v>0</v>
      </c>
      <c r="I1129" s="21">
        <v>0</v>
      </c>
      <c r="J1129" s="21">
        <v>0</v>
      </c>
      <c r="K1129" s="21">
        <v>1</v>
      </c>
      <c r="L1129" s="21">
        <v>0</v>
      </c>
      <c r="M1129" s="21">
        <v>0</v>
      </c>
      <c r="N1129" s="150">
        <f t="shared" si="1610"/>
        <v>1</v>
      </c>
      <c r="O1129" s="22">
        <f t="shared" si="1611"/>
        <v>8.3333333333333329E-2</v>
      </c>
      <c r="P1129" s="8"/>
      <c r="Q1129" s="8"/>
      <c r="R1129" s="8"/>
      <c r="S1129" s="8"/>
      <c r="T1129" s="8"/>
      <c r="U1129" s="8"/>
      <c r="V1129" s="8"/>
      <c r="W1129" s="8"/>
      <c r="X1129" s="8"/>
      <c r="Y1129" s="8"/>
      <c r="Z1129" s="8"/>
    </row>
    <row r="1130" spans="1:26" s="9" customFormat="1" ht="15.75">
      <c r="A1130" s="37" t="s">
        <v>690</v>
      </c>
      <c r="B1130" s="21">
        <v>0</v>
      </c>
      <c r="C1130" s="21">
        <v>0</v>
      </c>
      <c r="D1130" s="21">
        <v>0</v>
      </c>
      <c r="E1130" s="21">
        <v>0</v>
      </c>
      <c r="F1130" s="21">
        <v>1</v>
      </c>
      <c r="G1130" s="21">
        <v>1</v>
      </c>
      <c r="H1130" s="21">
        <v>1</v>
      </c>
      <c r="I1130" s="21">
        <v>0</v>
      </c>
      <c r="J1130" s="21">
        <v>0</v>
      </c>
      <c r="K1130" s="21">
        <v>0</v>
      </c>
      <c r="L1130" s="21">
        <v>0</v>
      </c>
      <c r="M1130" s="21">
        <v>0</v>
      </c>
      <c r="N1130" s="150">
        <f t="shared" si="1610"/>
        <v>3</v>
      </c>
      <c r="O1130" s="22">
        <f t="shared" si="1611"/>
        <v>0.25</v>
      </c>
      <c r="P1130" s="8"/>
      <c r="Q1130" s="8"/>
      <c r="R1130" s="8"/>
      <c r="S1130" s="8"/>
      <c r="T1130" s="8"/>
      <c r="U1130" s="8"/>
      <c r="V1130" s="8"/>
      <c r="W1130" s="8"/>
      <c r="X1130" s="8"/>
      <c r="Y1130" s="8"/>
      <c r="Z1130" s="8"/>
    </row>
    <row r="1131" spans="1:26" s="9" customFormat="1" ht="15.75">
      <c r="A1131" s="37" t="s">
        <v>695</v>
      </c>
      <c r="B1131" s="21">
        <v>0</v>
      </c>
      <c r="C1131" s="21">
        <v>0</v>
      </c>
      <c r="D1131" s="21">
        <v>0</v>
      </c>
      <c r="E1131" s="21">
        <v>0</v>
      </c>
      <c r="F1131" s="21">
        <v>0</v>
      </c>
      <c r="G1131" s="21">
        <v>0</v>
      </c>
      <c r="H1131" s="21">
        <v>0</v>
      </c>
      <c r="I1131" s="21">
        <v>0</v>
      </c>
      <c r="J1131" s="21">
        <v>0</v>
      </c>
      <c r="K1131" s="21">
        <v>0</v>
      </c>
      <c r="L1131" s="21">
        <v>0</v>
      </c>
      <c r="M1131" s="21">
        <v>0</v>
      </c>
      <c r="N1131" s="150">
        <f t="shared" si="1610"/>
        <v>0</v>
      </c>
      <c r="O1131" s="22">
        <f t="shared" si="1611"/>
        <v>0</v>
      </c>
      <c r="P1131" s="8"/>
      <c r="Q1131" s="8"/>
      <c r="R1131" s="8"/>
      <c r="S1131" s="8"/>
      <c r="T1131" s="8"/>
      <c r="U1131" s="8"/>
      <c r="V1131" s="8"/>
      <c r="W1131" s="8"/>
      <c r="X1131" s="8"/>
      <c r="Y1131" s="8"/>
      <c r="Z1131" s="8"/>
    </row>
    <row r="1132" spans="1:26" s="9" customFormat="1" ht="15.75">
      <c r="A1132" s="37" t="s">
        <v>158</v>
      </c>
      <c r="B1132" s="21">
        <v>0</v>
      </c>
      <c r="C1132" s="21">
        <v>0</v>
      </c>
      <c r="D1132" s="21">
        <v>0</v>
      </c>
      <c r="E1132" s="21">
        <v>0</v>
      </c>
      <c r="F1132" s="21">
        <v>0</v>
      </c>
      <c r="G1132" s="21">
        <v>0</v>
      </c>
      <c r="H1132" s="21">
        <v>2</v>
      </c>
      <c r="I1132" s="21">
        <v>1</v>
      </c>
      <c r="J1132" s="21">
        <v>0</v>
      </c>
      <c r="K1132" s="21">
        <v>0</v>
      </c>
      <c r="L1132" s="21">
        <v>1</v>
      </c>
      <c r="M1132" s="21">
        <v>1</v>
      </c>
      <c r="N1132" s="150">
        <f t="shared" si="1610"/>
        <v>5</v>
      </c>
      <c r="O1132" s="22">
        <f t="shared" si="1611"/>
        <v>0.41666666666666669</v>
      </c>
      <c r="P1132" s="8"/>
      <c r="Q1132" s="8"/>
      <c r="R1132" s="8"/>
      <c r="S1132" s="8"/>
      <c r="T1132" s="8"/>
      <c r="U1132" s="8"/>
      <c r="V1132" s="8"/>
      <c r="W1132" s="8"/>
      <c r="X1132" s="8"/>
      <c r="Y1132" s="8"/>
      <c r="Z1132" s="8"/>
    </row>
    <row r="1133" spans="1:26" s="9" customFormat="1" ht="15.75">
      <c r="A1133" s="37" t="s">
        <v>159</v>
      </c>
      <c r="B1133" s="21">
        <v>0</v>
      </c>
      <c r="C1133" s="21">
        <v>0</v>
      </c>
      <c r="D1133" s="21">
        <v>0</v>
      </c>
      <c r="E1133" s="21">
        <v>0</v>
      </c>
      <c r="F1133" s="21">
        <v>0</v>
      </c>
      <c r="G1133" s="21">
        <v>0</v>
      </c>
      <c r="H1133" s="21">
        <v>0</v>
      </c>
      <c r="I1133" s="21">
        <v>0</v>
      </c>
      <c r="J1133" s="21">
        <v>0</v>
      </c>
      <c r="K1133" s="21">
        <v>0</v>
      </c>
      <c r="L1133" s="21">
        <v>0</v>
      </c>
      <c r="M1133" s="21">
        <v>0</v>
      </c>
      <c r="N1133" s="150">
        <f t="shared" si="1610"/>
        <v>0</v>
      </c>
      <c r="O1133" s="22">
        <f t="shared" si="1611"/>
        <v>0</v>
      </c>
      <c r="P1133" s="8"/>
      <c r="Q1133" s="8"/>
      <c r="R1133" s="8"/>
      <c r="S1133" s="8"/>
      <c r="T1133" s="8"/>
      <c r="U1133" s="8"/>
      <c r="V1133" s="8"/>
      <c r="W1133" s="8"/>
      <c r="X1133" s="8"/>
      <c r="Y1133" s="8"/>
      <c r="Z1133" s="8"/>
    </row>
    <row r="1134" spans="1:26" s="9" customFormat="1" ht="15.75">
      <c r="A1134" s="37" t="s">
        <v>160</v>
      </c>
      <c r="B1134" s="21">
        <v>1</v>
      </c>
      <c r="C1134" s="21">
        <v>0</v>
      </c>
      <c r="D1134" s="21">
        <v>2</v>
      </c>
      <c r="E1134" s="21">
        <v>0</v>
      </c>
      <c r="F1134" s="21">
        <v>0</v>
      </c>
      <c r="G1134" s="21">
        <v>0</v>
      </c>
      <c r="H1134" s="21">
        <v>2</v>
      </c>
      <c r="I1134" s="21">
        <v>3</v>
      </c>
      <c r="J1134" s="21">
        <v>0</v>
      </c>
      <c r="K1134" s="21">
        <v>0</v>
      </c>
      <c r="L1134" s="21">
        <v>0</v>
      </c>
      <c r="M1134" s="21">
        <v>0</v>
      </c>
      <c r="N1134" s="150">
        <f t="shared" si="1610"/>
        <v>8</v>
      </c>
      <c r="O1134" s="22">
        <f t="shared" si="1611"/>
        <v>0.66666666666666663</v>
      </c>
      <c r="P1134" s="8"/>
      <c r="Q1134" s="8"/>
      <c r="R1134" s="8"/>
      <c r="S1134" s="8"/>
      <c r="T1134" s="8"/>
      <c r="U1134" s="8"/>
      <c r="V1134" s="8"/>
      <c r="W1134" s="8"/>
      <c r="X1134" s="8"/>
      <c r="Y1134" s="8"/>
      <c r="Z1134" s="8"/>
    </row>
    <row r="1135" spans="1:26" s="9" customFormat="1" ht="15.75">
      <c r="A1135" s="37" t="s">
        <v>298</v>
      </c>
      <c r="B1135" s="21">
        <v>0</v>
      </c>
      <c r="C1135" s="21">
        <v>0</v>
      </c>
      <c r="D1135" s="21">
        <v>0</v>
      </c>
      <c r="E1135" s="21">
        <v>0</v>
      </c>
      <c r="F1135" s="21">
        <v>0</v>
      </c>
      <c r="G1135" s="21">
        <v>0</v>
      </c>
      <c r="H1135" s="21">
        <v>0</v>
      </c>
      <c r="I1135" s="21">
        <v>0</v>
      </c>
      <c r="J1135" s="21">
        <v>2</v>
      </c>
      <c r="K1135" s="21">
        <v>0</v>
      </c>
      <c r="L1135" s="21">
        <v>0</v>
      </c>
      <c r="M1135" s="21">
        <v>0</v>
      </c>
      <c r="N1135" s="150">
        <f t="shared" si="1610"/>
        <v>2</v>
      </c>
      <c r="O1135" s="22">
        <f t="shared" si="1611"/>
        <v>0.16666666666666666</v>
      </c>
      <c r="P1135" s="8"/>
      <c r="Q1135" s="8"/>
      <c r="R1135" s="8"/>
      <c r="S1135" s="8"/>
      <c r="T1135" s="8"/>
      <c r="U1135" s="8"/>
      <c r="V1135" s="8"/>
      <c r="W1135" s="8"/>
      <c r="X1135" s="8"/>
      <c r="Y1135" s="8"/>
      <c r="Z1135" s="8"/>
    </row>
    <row r="1136" spans="1:26" s="9" customFormat="1" ht="15.75">
      <c r="A1136" s="37" t="s">
        <v>691</v>
      </c>
      <c r="B1136" s="21">
        <v>0</v>
      </c>
      <c r="C1136" s="21">
        <v>0</v>
      </c>
      <c r="D1136" s="21">
        <v>0</v>
      </c>
      <c r="E1136" s="21">
        <v>0</v>
      </c>
      <c r="F1136" s="21">
        <v>0</v>
      </c>
      <c r="G1136" s="21">
        <v>0</v>
      </c>
      <c r="H1136" s="21">
        <v>0</v>
      </c>
      <c r="I1136" s="21">
        <v>0</v>
      </c>
      <c r="J1136" s="21">
        <v>0</v>
      </c>
      <c r="K1136" s="21">
        <v>0</v>
      </c>
      <c r="L1136" s="21">
        <v>0</v>
      </c>
      <c r="M1136" s="21">
        <v>0</v>
      </c>
      <c r="N1136" s="150">
        <f t="shared" si="1610"/>
        <v>0</v>
      </c>
      <c r="O1136" s="22">
        <f t="shared" si="1611"/>
        <v>0</v>
      </c>
      <c r="P1136" s="8"/>
      <c r="Q1136" s="8"/>
      <c r="R1136" s="8"/>
      <c r="S1136" s="8"/>
      <c r="T1136" s="8"/>
      <c r="U1136" s="8"/>
      <c r="V1136" s="8"/>
      <c r="W1136" s="8"/>
      <c r="X1136" s="8"/>
      <c r="Y1136" s="8"/>
      <c r="Z1136" s="8"/>
    </row>
    <row r="1137" spans="1:26" s="9" customFormat="1" ht="15.75">
      <c r="A1137" s="37" t="s">
        <v>161</v>
      </c>
      <c r="B1137" s="21">
        <v>0</v>
      </c>
      <c r="C1137" s="21">
        <v>0</v>
      </c>
      <c r="D1137" s="21">
        <v>0</v>
      </c>
      <c r="E1137" s="21">
        <v>0</v>
      </c>
      <c r="F1137" s="21">
        <v>3</v>
      </c>
      <c r="G1137" s="21">
        <v>0</v>
      </c>
      <c r="H1137" s="21">
        <v>0</v>
      </c>
      <c r="I1137" s="21">
        <v>0</v>
      </c>
      <c r="J1137" s="21">
        <v>0</v>
      </c>
      <c r="K1137" s="21">
        <v>1</v>
      </c>
      <c r="L1137" s="21">
        <v>0</v>
      </c>
      <c r="M1137" s="21">
        <v>0</v>
      </c>
      <c r="N1137" s="150">
        <f t="shared" si="1610"/>
        <v>4</v>
      </c>
      <c r="O1137" s="22">
        <f t="shared" si="1611"/>
        <v>0.33333333333333331</v>
      </c>
      <c r="P1137" s="8"/>
      <c r="Q1137" s="8"/>
      <c r="R1137" s="8"/>
      <c r="S1137" s="8"/>
      <c r="T1137" s="8"/>
      <c r="U1137" s="8"/>
      <c r="V1137" s="8"/>
      <c r="W1137" s="8"/>
      <c r="X1137" s="8"/>
      <c r="Y1137" s="8"/>
      <c r="Z1137" s="8"/>
    </row>
    <row r="1138" spans="1:26" s="9" customFormat="1" ht="15.75">
      <c r="A1138" s="37" t="s">
        <v>689</v>
      </c>
      <c r="B1138" s="21">
        <v>3</v>
      </c>
      <c r="C1138" s="21">
        <v>1</v>
      </c>
      <c r="D1138" s="21">
        <v>0</v>
      </c>
      <c r="E1138" s="21">
        <v>2</v>
      </c>
      <c r="F1138" s="21">
        <v>0</v>
      </c>
      <c r="G1138" s="21">
        <v>0</v>
      </c>
      <c r="H1138" s="21">
        <v>0</v>
      </c>
      <c r="I1138" s="21">
        <v>1</v>
      </c>
      <c r="J1138" s="21">
        <v>0</v>
      </c>
      <c r="K1138" s="21">
        <v>0</v>
      </c>
      <c r="L1138" s="21">
        <v>1</v>
      </c>
      <c r="M1138" s="21">
        <v>0</v>
      </c>
      <c r="N1138" s="150">
        <f t="shared" si="1608"/>
        <v>8</v>
      </c>
      <c r="O1138" s="22">
        <f t="shared" si="1609"/>
        <v>0.66666666666666663</v>
      </c>
      <c r="P1138" s="8"/>
      <c r="Q1138" s="8"/>
      <c r="R1138" s="8"/>
      <c r="S1138" s="8"/>
      <c r="T1138" s="8"/>
      <c r="U1138" s="8"/>
      <c r="V1138" s="8"/>
      <c r="W1138" s="8"/>
      <c r="X1138" s="8"/>
      <c r="Y1138" s="8"/>
      <c r="Z1138" s="8"/>
    </row>
    <row r="1139" spans="1:26" s="9" customFormat="1" ht="15.75">
      <c r="A1139" s="37" t="s">
        <v>162</v>
      </c>
      <c r="B1139" s="21">
        <v>0</v>
      </c>
      <c r="C1139" s="21">
        <v>0</v>
      </c>
      <c r="D1139" s="21">
        <v>1</v>
      </c>
      <c r="E1139" s="21">
        <v>2</v>
      </c>
      <c r="F1139" s="21">
        <v>0</v>
      </c>
      <c r="G1139" s="21">
        <v>0</v>
      </c>
      <c r="H1139" s="21">
        <v>1</v>
      </c>
      <c r="I1139" s="21">
        <v>2</v>
      </c>
      <c r="J1139" s="21">
        <v>0</v>
      </c>
      <c r="K1139" s="21">
        <v>0</v>
      </c>
      <c r="L1139" s="21">
        <v>0</v>
      </c>
      <c r="M1139" s="21">
        <v>0</v>
      </c>
      <c r="N1139" s="150">
        <f t="shared" si="1608"/>
        <v>6</v>
      </c>
      <c r="O1139" s="22">
        <f t="shared" si="1609"/>
        <v>0.5</v>
      </c>
      <c r="P1139" s="13"/>
      <c r="Q1139" s="13"/>
      <c r="R1139" s="13"/>
      <c r="S1139" s="13"/>
      <c r="T1139" s="13"/>
      <c r="U1139" s="13"/>
      <c r="V1139" s="13"/>
      <c r="W1139" s="13"/>
      <c r="X1139" s="13"/>
      <c r="Y1139" s="13"/>
      <c r="Z1139" s="13"/>
    </row>
    <row r="1140" spans="1:26" s="9" customFormat="1" ht="15.75">
      <c r="A1140" s="37" t="s">
        <v>163</v>
      </c>
      <c r="B1140" s="21">
        <v>0</v>
      </c>
      <c r="C1140" s="21">
        <v>0</v>
      </c>
      <c r="D1140" s="21">
        <v>2</v>
      </c>
      <c r="E1140" s="21">
        <v>1</v>
      </c>
      <c r="F1140" s="21">
        <v>0</v>
      </c>
      <c r="G1140" s="21">
        <v>0</v>
      </c>
      <c r="H1140" s="21">
        <v>0</v>
      </c>
      <c r="I1140" s="21">
        <v>1</v>
      </c>
      <c r="J1140" s="21">
        <v>1</v>
      </c>
      <c r="K1140" s="21">
        <v>0</v>
      </c>
      <c r="L1140" s="21">
        <v>0</v>
      </c>
      <c r="M1140" s="21">
        <v>0</v>
      </c>
      <c r="N1140" s="150">
        <f t="shared" si="1608"/>
        <v>5</v>
      </c>
      <c r="O1140" s="22">
        <f t="shared" si="1609"/>
        <v>0.41666666666666669</v>
      </c>
      <c r="P1140" s="13"/>
      <c r="Q1140" s="13"/>
      <c r="R1140" s="13"/>
      <c r="S1140" s="13"/>
      <c r="T1140" s="13"/>
      <c r="U1140" s="13"/>
      <c r="V1140" s="13"/>
      <c r="W1140" s="13"/>
      <c r="X1140" s="13"/>
      <c r="Y1140" s="13"/>
      <c r="Z1140" s="13"/>
    </row>
    <row r="1141" spans="1:26" s="9" customFormat="1" ht="15.75">
      <c r="A1141" s="37" t="s">
        <v>693</v>
      </c>
      <c r="B1141" s="21">
        <v>0</v>
      </c>
      <c r="C1141" s="21">
        <v>0</v>
      </c>
      <c r="D1141" s="21">
        <v>0</v>
      </c>
      <c r="E1141" s="21">
        <v>0</v>
      </c>
      <c r="F1141" s="21">
        <v>0</v>
      </c>
      <c r="G1141" s="21">
        <v>0</v>
      </c>
      <c r="H1141" s="21">
        <v>0</v>
      </c>
      <c r="I1141" s="21">
        <v>0</v>
      </c>
      <c r="J1141" s="21">
        <v>0</v>
      </c>
      <c r="K1141" s="21">
        <v>0</v>
      </c>
      <c r="L1141" s="21">
        <v>0</v>
      </c>
      <c r="M1141" s="21">
        <v>0</v>
      </c>
      <c r="N1141" s="150">
        <f t="shared" si="1608"/>
        <v>0</v>
      </c>
      <c r="O1141" s="22">
        <f t="shared" si="1609"/>
        <v>0</v>
      </c>
      <c r="P1141" s="8"/>
      <c r="Q1141" s="8"/>
      <c r="R1141" s="8"/>
      <c r="S1141" s="8"/>
      <c r="T1141" s="8"/>
      <c r="U1141" s="8"/>
      <c r="V1141" s="8"/>
      <c r="W1141" s="8"/>
      <c r="X1141" s="8"/>
      <c r="Y1141" s="8"/>
      <c r="Z1141" s="8"/>
    </row>
    <row r="1142" spans="1:26" s="9" customFormat="1" ht="15.75">
      <c r="A1142" s="37" t="s">
        <v>164</v>
      </c>
      <c r="B1142" s="21">
        <v>292</v>
      </c>
      <c r="C1142" s="21">
        <v>288</v>
      </c>
      <c r="D1142" s="21">
        <v>272</v>
      </c>
      <c r="E1142" s="21">
        <v>213</v>
      </c>
      <c r="F1142" s="21">
        <v>199</v>
      </c>
      <c r="G1142" s="21">
        <v>204</v>
      </c>
      <c r="H1142" s="21">
        <v>280</v>
      </c>
      <c r="I1142" s="21">
        <v>363</v>
      </c>
      <c r="J1142" s="21">
        <f>71+29+149+124</f>
        <v>373</v>
      </c>
      <c r="K1142" s="21">
        <f>67+10+176+62</f>
        <v>315</v>
      </c>
      <c r="L1142" s="21">
        <v>323</v>
      </c>
      <c r="M1142" s="21">
        <f>162+37+2+27+37+6+31</f>
        <v>302</v>
      </c>
      <c r="N1142" s="150">
        <f t="shared" si="1608"/>
        <v>3424</v>
      </c>
      <c r="O1142" s="22">
        <f t="shared" si="1609"/>
        <v>285.33333333333331</v>
      </c>
      <c r="P1142" s="8"/>
      <c r="Q1142" s="8"/>
      <c r="R1142" s="8"/>
      <c r="S1142" s="8"/>
      <c r="T1142" s="8"/>
      <c r="U1142" s="8"/>
      <c r="V1142" s="8"/>
      <c r="W1142" s="8"/>
      <c r="X1142" s="8"/>
      <c r="Y1142" s="8"/>
      <c r="Z1142" s="8"/>
    </row>
    <row r="1143" spans="1:26" s="9" customFormat="1" ht="15.75">
      <c r="A1143" s="37" t="s">
        <v>165</v>
      </c>
      <c r="B1143" s="21">
        <v>1</v>
      </c>
      <c r="C1143" s="21">
        <v>0</v>
      </c>
      <c r="D1143" s="21">
        <v>0</v>
      </c>
      <c r="E1143" s="21">
        <v>0</v>
      </c>
      <c r="F1143" s="21">
        <v>0</v>
      </c>
      <c r="G1143" s="21">
        <v>1</v>
      </c>
      <c r="H1143" s="21">
        <v>4</v>
      </c>
      <c r="I1143" s="21">
        <v>5</v>
      </c>
      <c r="J1143" s="21">
        <v>0</v>
      </c>
      <c r="K1143" s="21">
        <v>0</v>
      </c>
      <c r="L1143" s="21">
        <v>0</v>
      </c>
      <c r="M1143" s="21">
        <v>0</v>
      </c>
      <c r="N1143" s="150">
        <f t="shared" si="1608"/>
        <v>11</v>
      </c>
      <c r="O1143" s="22">
        <f t="shared" si="1609"/>
        <v>0.91666666666666663</v>
      </c>
      <c r="P1143" s="13"/>
      <c r="Q1143" s="13"/>
      <c r="R1143" s="13"/>
      <c r="S1143" s="13"/>
      <c r="T1143" s="13"/>
      <c r="U1143" s="13"/>
      <c r="V1143" s="13"/>
      <c r="W1143" s="13"/>
      <c r="X1143" s="13"/>
      <c r="Y1143" s="13"/>
      <c r="Z1143" s="13"/>
    </row>
    <row r="1144" spans="1:26" s="9" customFormat="1" ht="15.75">
      <c r="A1144" s="37" t="s">
        <v>22</v>
      </c>
      <c r="B1144" s="21">
        <v>0</v>
      </c>
      <c r="C1144" s="21">
        <v>0</v>
      </c>
      <c r="D1144" s="21">
        <v>1</v>
      </c>
      <c r="E1144" s="21">
        <v>0</v>
      </c>
      <c r="F1144" s="21">
        <v>0</v>
      </c>
      <c r="G1144" s="21">
        <v>0</v>
      </c>
      <c r="H1144" s="21">
        <v>0</v>
      </c>
      <c r="I1144" s="21">
        <v>0</v>
      </c>
      <c r="J1144" s="21">
        <v>0</v>
      </c>
      <c r="K1144" s="21">
        <v>0</v>
      </c>
      <c r="L1144" s="21">
        <v>1</v>
      </c>
      <c r="M1144" s="21">
        <v>0</v>
      </c>
      <c r="N1144" s="150">
        <f t="shared" si="1608"/>
        <v>2</v>
      </c>
      <c r="O1144" s="22">
        <f t="shared" si="1609"/>
        <v>0.16666666666666666</v>
      </c>
      <c r="P1144" s="8"/>
      <c r="Q1144" s="8"/>
      <c r="R1144" s="8"/>
      <c r="S1144" s="8"/>
      <c r="T1144" s="8"/>
      <c r="U1144" s="8"/>
      <c r="V1144" s="8"/>
      <c r="W1144" s="8"/>
      <c r="X1144" s="8"/>
      <c r="Y1144" s="8"/>
      <c r="Z1144" s="8"/>
    </row>
    <row r="1145" spans="1:26" s="9" customFormat="1" ht="15.75">
      <c r="A1145" s="62" t="s">
        <v>21</v>
      </c>
      <c r="B1145" s="24">
        <f>IFERROR(SUM(B1121:B1144),"")</f>
        <v>301</v>
      </c>
      <c r="C1145" s="24">
        <f t="shared" ref="C1145:D1145" si="1612">IFERROR(SUM(C1121:C1144),"")</f>
        <v>292</v>
      </c>
      <c r="D1145" s="24">
        <f t="shared" si="1612"/>
        <v>281</v>
      </c>
      <c r="E1145" s="24">
        <f t="shared" ref="E1145:F1145" si="1613">IFERROR(SUM(E1121:E1144),"")</f>
        <v>218</v>
      </c>
      <c r="F1145" s="24">
        <f t="shared" si="1613"/>
        <v>208</v>
      </c>
      <c r="G1145" s="24">
        <f t="shared" ref="G1145:H1145" si="1614">IFERROR(SUM(G1121:G1144),"")</f>
        <v>209</v>
      </c>
      <c r="H1145" s="24">
        <f t="shared" si="1614"/>
        <v>297</v>
      </c>
      <c r="I1145" s="24">
        <f t="shared" ref="I1145:K1145" si="1615">IFERROR(SUM(I1121:I1144),"")</f>
        <v>392</v>
      </c>
      <c r="J1145" s="24">
        <f t="shared" si="1615"/>
        <v>386</v>
      </c>
      <c r="K1145" s="24">
        <f t="shared" si="1615"/>
        <v>321</v>
      </c>
      <c r="L1145" s="24">
        <f t="shared" ref="L1145:M1145" si="1616">IFERROR(SUM(L1121:L1144),"")</f>
        <v>333</v>
      </c>
      <c r="M1145" s="24">
        <f t="shared" si="1616"/>
        <v>306</v>
      </c>
      <c r="N1145" s="144">
        <f>SUM(N1121:N1144)</f>
        <v>3544</v>
      </c>
      <c r="O1145" s="25">
        <f>SUM(O1121:O1144)</f>
        <v>295.33333333333337</v>
      </c>
      <c r="P1145" s="8"/>
      <c r="Q1145" s="8"/>
      <c r="R1145" s="8"/>
      <c r="S1145" s="8"/>
      <c r="T1145" s="8"/>
      <c r="U1145" s="8"/>
      <c r="V1145" s="8"/>
      <c r="W1145" s="8"/>
      <c r="X1145" s="8"/>
      <c r="Y1145" s="8"/>
      <c r="Z1145" s="8"/>
    </row>
    <row r="1146" spans="1:26" s="9" customFormat="1" ht="15.75">
      <c r="A1146" s="62" t="s">
        <v>112</v>
      </c>
      <c r="B1146" s="25">
        <f t="shared" ref="B1146:G1146" si="1617">IF(B1145=0,"",B1145/B$1870)</f>
        <v>9.7096774193548381</v>
      </c>
      <c r="C1146" s="25">
        <f t="shared" si="1617"/>
        <v>10.428571428571429</v>
      </c>
      <c r="D1146" s="25">
        <f t="shared" si="1617"/>
        <v>9.064516129032258</v>
      </c>
      <c r="E1146" s="25">
        <f t="shared" si="1617"/>
        <v>7.2666666666666666</v>
      </c>
      <c r="F1146" s="25">
        <f t="shared" si="1617"/>
        <v>6.709677419354839</v>
      </c>
      <c r="G1146" s="25">
        <f t="shared" si="1617"/>
        <v>6.9666666666666668</v>
      </c>
      <c r="H1146" s="25">
        <f t="shared" ref="H1146:I1146" si="1618">IF(H1145=0,"",H1145/H$1870)</f>
        <v>9.5806451612903221</v>
      </c>
      <c r="I1146" s="25">
        <f t="shared" si="1618"/>
        <v>12.64516129032258</v>
      </c>
      <c r="J1146" s="25">
        <f t="shared" ref="J1146:K1146" si="1619">IF(J1145=0,"",J1145/J$1870)</f>
        <v>12.866666666666667</v>
      </c>
      <c r="K1146" s="25">
        <f t="shared" si="1619"/>
        <v>10.35483870967742</v>
      </c>
      <c r="L1146" s="25">
        <f t="shared" ref="L1146:M1146" si="1620">IF(L1145=0,"",L1145/L$1870)</f>
        <v>11.1</v>
      </c>
      <c r="M1146" s="25">
        <f t="shared" si="1620"/>
        <v>9.870967741935484</v>
      </c>
      <c r="N1146" s="144">
        <f>SUM(B1146:M1146)</f>
        <v>116.56405529953916</v>
      </c>
      <c r="O1146" s="25">
        <f>IF(N1146=0,0,AVERAGE(B1146:M1146))</f>
        <v>9.7136712749615963</v>
      </c>
      <c r="P1146" s="8"/>
      <c r="Q1146" s="8"/>
      <c r="R1146" s="8"/>
      <c r="S1146" s="8"/>
      <c r="T1146" s="8"/>
      <c r="U1146" s="8"/>
      <c r="V1146" s="8"/>
      <c r="W1146" s="8"/>
      <c r="X1146" s="8"/>
      <c r="Y1146" s="8"/>
      <c r="Z1146" s="8"/>
    </row>
    <row r="1147" spans="1:26" s="9" customFormat="1">
      <c r="A1147" s="26"/>
      <c r="B1147" s="27"/>
      <c r="C1147" s="27"/>
      <c r="D1147" s="27"/>
      <c r="E1147" s="28"/>
      <c r="F1147" s="28"/>
      <c r="G1147" s="28"/>
      <c r="H1147" s="28"/>
      <c r="I1147" s="28"/>
      <c r="J1147" s="28"/>
      <c r="K1147" s="28"/>
      <c r="L1147" s="28"/>
      <c r="M1147" s="28"/>
      <c r="N1147" s="151"/>
      <c r="O1147" s="16"/>
      <c r="P1147" s="8"/>
      <c r="Q1147" s="8"/>
      <c r="R1147" s="8"/>
      <c r="S1147" s="8"/>
      <c r="T1147" s="8"/>
      <c r="U1147" s="8"/>
      <c r="V1147" s="8"/>
      <c r="W1147" s="8"/>
      <c r="X1147" s="8"/>
      <c r="Y1147" s="8"/>
      <c r="Z1147" s="8"/>
    </row>
    <row r="1148" spans="1:26" s="9" customFormat="1" ht="15.75">
      <c r="A1148" s="66" t="s">
        <v>702</v>
      </c>
      <c r="B1148" s="18"/>
      <c r="C1148" s="18"/>
      <c r="D1148" s="18"/>
      <c r="E1148" s="18"/>
      <c r="F1148" s="18"/>
      <c r="G1148" s="18"/>
      <c r="H1148" s="18"/>
      <c r="I1148" s="18"/>
      <c r="J1148" s="18"/>
      <c r="K1148" s="18"/>
      <c r="L1148" s="18"/>
      <c r="M1148" s="18"/>
      <c r="N1148" s="149"/>
      <c r="O1148" s="19"/>
      <c r="P1148" s="8"/>
      <c r="Q1148" s="8"/>
      <c r="R1148" s="8"/>
      <c r="S1148" s="8"/>
      <c r="T1148" s="8"/>
      <c r="U1148" s="8"/>
      <c r="V1148" s="8"/>
      <c r="W1148" s="8"/>
      <c r="X1148" s="8"/>
      <c r="Y1148" s="8"/>
      <c r="Z1148" s="8"/>
    </row>
    <row r="1149" spans="1:26" s="9" customFormat="1" ht="15.75">
      <c r="A1149" s="40" t="s">
        <v>18</v>
      </c>
      <c r="B1149" s="21">
        <v>44</v>
      </c>
      <c r="C1149" s="21">
        <v>59</v>
      </c>
      <c r="D1149" s="21">
        <v>46</v>
      </c>
      <c r="E1149" s="21">
        <v>7</v>
      </c>
      <c r="F1149" s="21">
        <v>52</v>
      </c>
      <c r="G1149" s="21">
        <v>39</v>
      </c>
      <c r="H1149" s="21">
        <v>58</v>
      </c>
      <c r="I1149" s="21">
        <v>132</v>
      </c>
      <c r="J1149" s="21">
        <v>105</v>
      </c>
      <c r="K1149" s="21">
        <v>79</v>
      </c>
      <c r="L1149" s="21">
        <v>204</v>
      </c>
      <c r="M1149" s="21">
        <v>201</v>
      </c>
      <c r="N1149" s="150">
        <f>SUM(B1149:M1149)</f>
        <v>1026</v>
      </c>
      <c r="O1149" s="22">
        <f>IF(N1149=0,0,AVERAGE(B1149:M1149))</f>
        <v>85.5</v>
      </c>
      <c r="P1149" s="8"/>
      <c r="Q1149" s="8"/>
      <c r="R1149" s="8"/>
      <c r="S1149" s="8"/>
      <c r="T1149" s="8"/>
      <c r="U1149" s="8"/>
      <c r="V1149" s="8"/>
      <c r="W1149" s="8"/>
      <c r="X1149" s="8"/>
      <c r="Y1149" s="8"/>
      <c r="Z1149" s="8"/>
    </row>
    <row r="1150" spans="1:26" s="9" customFormat="1" ht="15.75">
      <c r="A1150" s="40" t="s">
        <v>19</v>
      </c>
      <c r="B1150" s="21">
        <v>134</v>
      </c>
      <c r="C1150" s="21">
        <v>117</v>
      </c>
      <c r="D1150" s="21">
        <v>116</v>
      </c>
      <c r="E1150" s="21">
        <v>138</v>
      </c>
      <c r="F1150" s="21">
        <v>65</v>
      </c>
      <c r="G1150" s="21">
        <f>44+46+6</f>
        <v>96</v>
      </c>
      <c r="H1150" s="21">
        <v>153</v>
      </c>
      <c r="I1150" s="21">
        <v>163</v>
      </c>
      <c r="J1150" s="21">
        <v>157</v>
      </c>
      <c r="K1150" s="21">
        <v>177</v>
      </c>
      <c r="L1150" s="21">
        <v>64</v>
      </c>
      <c r="M1150" s="21">
        <v>68</v>
      </c>
      <c r="N1150" s="150">
        <f>SUM(B1150:M1150)</f>
        <v>1448</v>
      </c>
      <c r="O1150" s="22">
        <f>IF(N1150=0,0,AVERAGE(B1150:M1150))</f>
        <v>120.66666666666667</v>
      </c>
      <c r="P1150" s="13"/>
      <c r="Q1150" s="13"/>
      <c r="R1150" s="13"/>
      <c r="S1150" s="13"/>
      <c r="T1150" s="13"/>
      <c r="U1150" s="13"/>
      <c r="V1150" s="13"/>
      <c r="W1150" s="13"/>
      <c r="X1150" s="13"/>
      <c r="Y1150" s="13"/>
      <c r="Z1150" s="13"/>
    </row>
    <row r="1151" spans="1:26" s="9" customFormat="1" ht="15.75">
      <c r="A1151" s="40" t="s">
        <v>20</v>
      </c>
      <c r="B1151" s="21">
        <v>123</v>
      </c>
      <c r="C1151" s="21">
        <v>116</v>
      </c>
      <c r="D1151" s="21">
        <v>119</v>
      </c>
      <c r="E1151" s="21">
        <v>73</v>
      </c>
      <c r="F1151" s="21">
        <v>91</v>
      </c>
      <c r="G1151" s="21">
        <v>74</v>
      </c>
      <c r="H1151" s="21">
        <v>86</v>
      </c>
      <c r="I1151" s="21">
        <v>97</v>
      </c>
      <c r="J1151" s="21">
        <v>124</v>
      </c>
      <c r="K1151" s="21">
        <v>65</v>
      </c>
      <c r="L1151" s="21">
        <v>65</v>
      </c>
      <c r="M1151" s="21">
        <v>37</v>
      </c>
      <c r="N1151" s="150">
        <f>SUM(B1151:M1151)</f>
        <v>1070</v>
      </c>
      <c r="O1151" s="22">
        <f>IF(N1151=0,0,AVERAGE(B1151:M1151))</f>
        <v>89.166666666666671</v>
      </c>
      <c r="P1151" s="8"/>
      <c r="Q1151" s="8"/>
      <c r="R1151" s="8"/>
      <c r="S1151" s="8"/>
      <c r="T1151" s="8"/>
      <c r="U1151" s="8"/>
      <c r="V1151" s="8"/>
      <c r="W1151" s="8"/>
      <c r="X1151" s="8"/>
      <c r="Y1151" s="8"/>
      <c r="Z1151" s="8"/>
    </row>
    <row r="1152" spans="1:26" s="9" customFormat="1" ht="15.75">
      <c r="A1152" s="37" t="s">
        <v>119</v>
      </c>
      <c r="B1152" s="21">
        <v>0</v>
      </c>
      <c r="C1152" s="21">
        <v>0</v>
      </c>
      <c r="D1152" s="21">
        <v>0</v>
      </c>
      <c r="E1152" s="21">
        <v>0</v>
      </c>
      <c r="F1152" s="21">
        <v>0</v>
      </c>
      <c r="G1152" s="21">
        <v>0</v>
      </c>
      <c r="H1152" s="21">
        <v>0</v>
      </c>
      <c r="I1152" s="21">
        <v>0</v>
      </c>
      <c r="J1152" s="21">
        <v>0</v>
      </c>
      <c r="K1152" s="21">
        <v>0</v>
      </c>
      <c r="L1152" s="21">
        <v>0</v>
      </c>
      <c r="M1152" s="21">
        <v>0</v>
      </c>
      <c r="N1152" s="150">
        <f>SUM(B1152:M1152)</f>
        <v>0</v>
      </c>
      <c r="O1152" s="22">
        <f>IF(N1152=0,0,AVERAGE(B1152:M1152))</f>
        <v>0</v>
      </c>
      <c r="P1152" s="13"/>
      <c r="Q1152" s="13"/>
      <c r="R1152" s="13"/>
      <c r="S1152" s="13"/>
      <c r="T1152" s="13"/>
      <c r="U1152" s="13"/>
      <c r="V1152" s="13"/>
      <c r="W1152" s="13"/>
      <c r="X1152" s="13"/>
      <c r="Y1152" s="13"/>
      <c r="Z1152" s="13"/>
    </row>
    <row r="1153" spans="1:26" s="9" customFormat="1" ht="15.75">
      <c r="A1153" s="62" t="s">
        <v>21</v>
      </c>
      <c r="B1153" s="24">
        <f t="shared" ref="B1153" si="1621">SUM(B1149:B1152)</f>
        <v>301</v>
      </c>
      <c r="C1153" s="24">
        <f t="shared" ref="C1153:D1153" si="1622">SUM(C1149:C1152)</f>
        <v>292</v>
      </c>
      <c r="D1153" s="24">
        <f t="shared" si="1622"/>
        <v>281</v>
      </c>
      <c r="E1153" s="24">
        <f t="shared" ref="E1153:F1153" si="1623">SUM(E1149:E1152)</f>
        <v>218</v>
      </c>
      <c r="F1153" s="24">
        <f t="shared" si="1623"/>
        <v>208</v>
      </c>
      <c r="G1153" s="24">
        <f t="shared" ref="G1153:H1153" si="1624">SUM(G1149:G1152)</f>
        <v>209</v>
      </c>
      <c r="H1153" s="24">
        <f t="shared" si="1624"/>
        <v>297</v>
      </c>
      <c r="I1153" s="24">
        <f t="shared" ref="I1153:J1153" si="1625">SUM(I1149:I1152)</f>
        <v>392</v>
      </c>
      <c r="J1153" s="24">
        <f t="shared" si="1625"/>
        <v>386</v>
      </c>
      <c r="K1153" s="24">
        <f t="shared" ref="K1153:L1153" si="1626">SUM(K1149:K1152)</f>
        <v>321</v>
      </c>
      <c r="L1153" s="24">
        <f t="shared" si="1626"/>
        <v>333</v>
      </c>
      <c r="M1153" s="24">
        <f t="shared" ref="M1153" si="1627">SUM(M1149:M1152)</f>
        <v>306</v>
      </c>
      <c r="N1153" s="144">
        <f>SUM(N1149:N1152)</f>
        <v>3544</v>
      </c>
      <c r="O1153" s="25">
        <f>SUM(O1149:O1152)</f>
        <v>295.33333333333337</v>
      </c>
      <c r="P1153" s="13"/>
      <c r="Q1153" s="13"/>
      <c r="R1153" s="13"/>
      <c r="S1153" s="13"/>
      <c r="T1153" s="13"/>
      <c r="U1153" s="13"/>
      <c r="V1153" s="13"/>
      <c r="W1153" s="13"/>
      <c r="X1153" s="13"/>
      <c r="Y1153" s="13"/>
      <c r="Z1153" s="13"/>
    </row>
    <row r="1154" spans="1:26" s="9" customFormat="1" ht="15.75">
      <c r="A1154" s="62" t="s">
        <v>112</v>
      </c>
      <c r="B1154" s="25">
        <f t="shared" ref="B1154:F1154" si="1628">IF(B1153=0,"",B1153/B$1870)</f>
        <v>9.7096774193548381</v>
      </c>
      <c r="C1154" s="25">
        <f t="shared" si="1628"/>
        <v>10.428571428571429</v>
      </c>
      <c r="D1154" s="25">
        <f t="shared" si="1628"/>
        <v>9.064516129032258</v>
      </c>
      <c r="E1154" s="25">
        <f t="shared" si="1628"/>
        <v>7.2666666666666666</v>
      </c>
      <c r="F1154" s="25">
        <f t="shared" si="1628"/>
        <v>6.709677419354839</v>
      </c>
      <c r="G1154" s="25">
        <f t="shared" ref="G1154:H1154" si="1629">IF(G1153=0,"",G1153/G$1870)</f>
        <v>6.9666666666666668</v>
      </c>
      <c r="H1154" s="25">
        <f t="shared" si="1629"/>
        <v>9.5806451612903221</v>
      </c>
      <c r="I1154" s="25">
        <f t="shared" ref="I1154:J1154" si="1630">IF(I1153=0,"",I1153/I$1870)</f>
        <v>12.64516129032258</v>
      </c>
      <c r="J1154" s="25">
        <f t="shared" si="1630"/>
        <v>12.866666666666667</v>
      </c>
      <c r="K1154" s="25">
        <f t="shared" ref="K1154:L1154" si="1631">IF(K1153=0,"",K1153/K$1870)</f>
        <v>10.35483870967742</v>
      </c>
      <c r="L1154" s="25">
        <f t="shared" si="1631"/>
        <v>11.1</v>
      </c>
      <c r="M1154" s="25">
        <f t="shared" ref="M1154" si="1632">IF(M1153=0,"",M1153/M$1870)</f>
        <v>9.870967741935484</v>
      </c>
      <c r="N1154" s="144">
        <f>SUM(B1154:M1154)</f>
        <v>116.56405529953916</v>
      </c>
      <c r="O1154" s="25">
        <f>IF(N1154=0,0,AVERAGE(B1154:M1154))</f>
        <v>9.7136712749615963</v>
      </c>
      <c r="P1154" s="13"/>
      <c r="Q1154" s="13"/>
      <c r="R1154" s="13"/>
      <c r="S1154" s="13"/>
      <c r="T1154" s="13"/>
      <c r="U1154" s="13"/>
      <c r="V1154" s="13"/>
      <c r="W1154" s="13"/>
      <c r="X1154" s="13"/>
      <c r="Y1154" s="13"/>
      <c r="Z1154" s="13"/>
    </row>
    <row r="1155" spans="1:26" s="9" customFormat="1" ht="15.75">
      <c r="A1155" s="26"/>
      <c r="B1155" s="27"/>
      <c r="C1155" s="27"/>
      <c r="D1155" s="27"/>
      <c r="E1155" s="28"/>
      <c r="F1155" s="28"/>
      <c r="G1155" s="28"/>
      <c r="H1155" s="28"/>
      <c r="I1155" s="28"/>
      <c r="J1155" s="28"/>
      <c r="K1155" s="28"/>
      <c r="L1155" s="28"/>
      <c r="M1155" s="28"/>
      <c r="N1155" s="151"/>
      <c r="O1155" s="57"/>
      <c r="P1155" s="13"/>
      <c r="Q1155" s="13"/>
      <c r="R1155" s="13"/>
      <c r="S1155" s="13"/>
      <c r="T1155" s="13"/>
      <c r="U1155" s="13"/>
      <c r="V1155" s="13"/>
      <c r="W1155" s="13"/>
      <c r="X1155" s="13"/>
      <c r="Y1155" s="13"/>
      <c r="Z1155" s="13"/>
    </row>
    <row r="1156" spans="1:26" s="9" customFormat="1" ht="15.75">
      <c r="A1156" s="66" t="s">
        <v>615</v>
      </c>
      <c r="B1156" s="18"/>
      <c r="C1156" s="18"/>
      <c r="D1156" s="18"/>
      <c r="E1156" s="18"/>
      <c r="F1156" s="18"/>
      <c r="G1156" s="18"/>
      <c r="H1156" s="18"/>
      <c r="I1156" s="18"/>
      <c r="J1156" s="18"/>
      <c r="K1156" s="18"/>
      <c r="L1156" s="18"/>
      <c r="M1156" s="18"/>
      <c r="N1156" s="149"/>
      <c r="O1156" s="19"/>
      <c r="P1156" s="13"/>
      <c r="Q1156" s="13"/>
      <c r="R1156" s="13"/>
      <c r="S1156" s="13"/>
      <c r="T1156" s="13"/>
      <c r="U1156" s="13"/>
      <c r="V1156" s="13"/>
      <c r="W1156" s="13"/>
      <c r="X1156" s="13"/>
      <c r="Y1156" s="13"/>
      <c r="Z1156" s="13"/>
    </row>
    <row r="1157" spans="1:26" s="9" customFormat="1" ht="15.75">
      <c r="A1157" s="113" t="s">
        <v>415</v>
      </c>
      <c r="B1157" s="21">
        <v>0</v>
      </c>
      <c r="C1157" s="21">
        <v>0</v>
      </c>
      <c r="D1157" s="21">
        <v>0</v>
      </c>
      <c r="E1157" s="21">
        <v>0</v>
      </c>
      <c r="F1157" s="21">
        <v>0</v>
      </c>
      <c r="G1157" s="21">
        <v>0</v>
      </c>
      <c r="H1157" s="21">
        <v>0</v>
      </c>
      <c r="I1157" s="21">
        <v>0</v>
      </c>
      <c r="J1157" s="21">
        <v>0</v>
      </c>
      <c r="K1157" s="21">
        <v>0</v>
      </c>
      <c r="L1157" s="21">
        <v>0</v>
      </c>
      <c r="M1157" s="21">
        <v>0</v>
      </c>
      <c r="N1157" s="150">
        <f t="shared" ref="N1157:N1180" si="1633">SUM(B1157:M1157)</f>
        <v>0</v>
      </c>
      <c r="O1157" s="22">
        <f t="shared" ref="O1157:O1180" si="1634">IF(N1157=0,0,AVERAGE(B1157:M1157))</f>
        <v>0</v>
      </c>
      <c r="P1157" s="13"/>
      <c r="Q1157" s="13"/>
      <c r="R1157" s="13"/>
      <c r="S1157" s="13"/>
      <c r="T1157" s="13"/>
      <c r="U1157" s="13"/>
      <c r="V1157" s="13"/>
      <c r="W1157" s="13"/>
      <c r="X1157" s="13"/>
      <c r="Y1157" s="13"/>
      <c r="Z1157" s="13"/>
    </row>
    <row r="1158" spans="1:26" s="9" customFormat="1" ht="15.75">
      <c r="A1158" s="113" t="s">
        <v>686</v>
      </c>
      <c r="B1158" s="21">
        <v>0</v>
      </c>
      <c r="C1158" s="21">
        <v>0</v>
      </c>
      <c r="D1158" s="21">
        <v>0</v>
      </c>
      <c r="E1158" s="21">
        <v>0</v>
      </c>
      <c r="F1158" s="21">
        <v>0</v>
      </c>
      <c r="G1158" s="21">
        <v>0</v>
      </c>
      <c r="H1158" s="21">
        <v>0</v>
      </c>
      <c r="I1158" s="21">
        <v>0</v>
      </c>
      <c r="J1158" s="21">
        <v>0</v>
      </c>
      <c r="K1158" s="21">
        <v>0</v>
      </c>
      <c r="L1158" s="21">
        <v>0</v>
      </c>
      <c r="M1158" s="21">
        <v>0</v>
      </c>
      <c r="N1158" s="150">
        <f t="shared" ref="N1158" si="1635">SUM(B1158:M1158)</f>
        <v>0</v>
      </c>
      <c r="O1158" s="22">
        <f t="shared" ref="O1158" si="1636">IF(N1158=0,0,AVERAGE(B1158:M1158))</f>
        <v>0</v>
      </c>
      <c r="P1158" s="13"/>
      <c r="Q1158" s="13"/>
      <c r="R1158" s="13"/>
      <c r="S1158" s="13"/>
      <c r="T1158" s="13"/>
      <c r="U1158" s="13"/>
      <c r="V1158" s="13"/>
      <c r="W1158" s="13"/>
      <c r="X1158" s="13"/>
      <c r="Y1158" s="13"/>
      <c r="Z1158" s="13"/>
    </row>
    <row r="1159" spans="1:26" s="9" customFormat="1" ht="15.75">
      <c r="A1159" s="113" t="s">
        <v>687</v>
      </c>
      <c r="B1159" s="21">
        <v>1</v>
      </c>
      <c r="C1159" s="21">
        <v>0</v>
      </c>
      <c r="D1159" s="21">
        <v>0</v>
      </c>
      <c r="E1159" s="21">
        <v>0</v>
      </c>
      <c r="F1159" s="21">
        <v>1</v>
      </c>
      <c r="G1159" s="21">
        <v>0</v>
      </c>
      <c r="H1159" s="21">
        <v>1</v>
      </c>
      <c r="I1159" s="21">
        <v>2</v>
      </c>
      <c r="J1159" s="21">
        <v>2</v>
      </c>
      <c r="K1159" s="21">
        <v>0</v>
      </c>
      <c r="L1159" s="21">
        <v>2</v>
      </c>
      <c r="M1159" s="21">
        <v>0</v>
      </c>
      <c r="N1159" s="150">
        <f t="shared" si="1633"/>
        <v>9</v>
      </c>
      <c r="O1159" s="22">
        <f t="shared" si="1634"/>
        <v>0.75</v>
      </c>
      <c r="P1159" s="13"/>
      <c r="Q1159" s="13"/>
      <c r="R1159" s="13"/>
      <c r="S1159" s="13"/>
      <c r="T1159" s="13"/>
      <c r="U1159" s="13"/>
      <c r="V1159" s="13"/>
      <c r="W1159" s="13"/>
      <c r="X1159" s="13"/>
      <c r="Y1159" s="13"/>
      <c r="Z1159" s="13"/>
    </row>
    <row r="1160" spans="1:26" s="9" customFormat="1" ht="15.75">
      <c r="A1160" s="113" t="s">
        <v>688</v>
      </c>
      <c r="B1160" s="21">
        <v>0</v>
      </c>
      <c r="C1160" s="21">
        <v>0</v>
      </c>
      <c r="D1160" s="21">
        <v>7</v>
      </c>
      <c r="E1160" s="21">
        <v>0</v>
      </c>
      <c r="F1160" s="21">
        <v>0</v>
      </c>
      <c r="G1160" s="21">
        <v>0</v>
      </c>
      <c r="H1160" s="21">
        <v>0</v>
      </c>
      <c r="I1160" s="21">
        <v>2</v>
      </c>
      <c r="J1160" s="21">
        <v>2</v>
      </c>
      <c r="K1160" s="21">
        <v>2</v>
      </c>
      <c r="L1160" s="21">
        <v>6</v>
      </c>
      <c r="M1160" s="21">
        <v>0</v>
      </c>
      <c r="N1160" s="150">
        <f t="shared" si="1633"/>
        <v>19</v>
      </c>
      <c r="O1160" s="22">
        <f t="shared" si="1634"/>
        <v>1.5833333333333333</v>
      </c>
      <c r="P1160" s="13"/>
      <c r="Q1160" s="13"/>
      <c r="R1160" s="13"/>
      <c r="S1160" s="13"/>
      <c r="T1160" s="13"/>
      <c r="U1160" s="13"/>
      <c r="V1160" s="13"/>
      <c r="W1160" s="13"/>
      <c r="X1160" s="13"/>
      <c r="Y1160" s="13"/>
      <c r="Z1160" s="13"/>
    </row>
    <row r="1161" spans="1:26" s="9" customFormat="1" ht="15.75">
      <c r="A1161" s="113" t="s">
        <v>694</v>
      </c>
      <c r="B1161" s="21">
        <v>0</v>
      </c>
      <c r="C1161" s="21">
        <v>0</v>
      </c>
      <c r="D1161" s="21">
        <v>2</v>
      </c>
      <c r="E1161" s="21">
        <v>0</v>
      </c>
      <c r="F1161" s="21">
        <v>0</v>
      </c>
      <c r="G1161" s="21">
        <v>0</v>
      </c>
      <c r="H1161" s="21">
        <v>0</v>
      </c>
      <c r="I1161" s="21">
        <v>0</v>
      </c>
      <c r="J1161" s="21">
        <v>0</v>
      </c>
      <c r="K1161" s="21">
        <v>0</v>
      </c>
      <c r="L1161" s="21">
        <v>0</v>
      </c>
      <c r="M1161" s="21">
        <v>0</v>
      </c>
      <c r="N1161" s="150">
        <f t="shared" ref="N1161:N1171" si="1637">SUM(B1161:M1161)</f>
        <v>2</v>
      </c>
      <c r="O1161" s="22">
        <f t="shared" ref="O1161:O1171" si="1638">IF(N1161=0,0,AVERAGE(B1161:M1161))</f>
        <v>0.16666666666666666</v>
      </c>
      <c r="P1161" s="13"/>
      <c r="Q1161" s="13"/>
      <c r="R1161" s="13"/>
      <c r="S1161" s="13"/>
      <c r="T1161" s="13"/>
      <c r="U1161" s="13"/>
      <c r="V1161" s="13"/>
      <c r="W1161" s="13"/>
      <c r="X1161" s="13"/>
      <c r="Y1161" s="13"/>
      <c r="Z1161" s="13"/>
    </row>
    <row r="1162" spans="1:26" s="9" customFormat="1" ht="15.75">
      <c r="A1162" s="113" t="s">
        <v>692</v>
      </c>
      <c r="B1162" s="21">
        <v>0</v>
      </c>
      <c r="C1162" s="21">
        <v>0</v>
      </c>
      <c r="D1162" s="21">
        <v>0</v>
      </c>
      <c r="E1162" s="21">
        <v>0</v>
      </c>
      <c r="F1162" s="21">
        <v>0</v>
      </c>
      <c r="G1162" s="21">
        <v>2</v>
      </c>
      <c r="H1162" s="21">
        <v>2</v>
      </c>
      <c r="I1162" s="21">
        <v>0</v>
      </c>
      <c r="J1162" s="21">
        <v>2</v>
      </c>
      <c r="K1162" s="21">
        <v>3</v>
      </c>
      <c r="L1162" s="21">
        <v>1</v>
      </c>
      <c r="M1162" s="21">
        <v>0</v>
      </c>
      <c r="N1162" s="150">
        <f t="shared" si="1637"/>
        <v>10</v>
      </c>
      <c r="O1162" s="22">
        <f t="shared" si="1638"/>
        <v>0.83333333333333337</v>
      </c>
      <c r="P1162" s="13"/>
      <c r="Q1162" s="13"/>
      <c r="R1162" s="13"/>
      <c r="S1162" s="13"/>
      <c r="T1162" s="13"/>
      <c r="U1162" s="13"/>
      <c r="V1162" s="13"/>
      <c r="W1162" s="13"/>
      <c r="X1162" s="13"/>
      <c r="Y1162" s="13"/>
      <c r="Z1162" s="13"/>
    </row>
    <row r="1163" spans="1:26" s="9" customFormat="1" ht="15.75">
      <c r="A1163" s="37" t="s">
        <v>157</v>
      </c>
      <c r="B1163" s="21">
        <v>3</v>
      </c>
      <c r="C1163" s="21">
        <v>2</v>
      </c>
      <c r="D1163" s="21">
        <v>4</v>
      </c>
      <c r="E1163" s="21">
        <v>2</v>
      </c>
      <c r="F1163" s="21">
        <v>1</v>
      </c>
      <c r="G1163" s="21">
        <v>1</v>
      </c>
      <c r="H1163" s="21">
        <v>4</v>
      </c>
      <c r="I1163" s="21">
        <v>4</v>
      </c>
      <c r="J1163" s="21">
        <f>2+2</f>
        <v>4</v>
      </c>
      <c r="K1163" s="21">
        <f>4+1</f>
        <v>5</v>
      </c>
      <c r="L1163" s="21">
        <v>7</v>
      </c>
      <c r="M1163" s="21">
        <v>0</v>
      </c>
      <c r="N1163" s="150">
        <f t="shared" si="1637"/>
        <v>37</v>
      </c>
      <c r="O1163" s="22">
        <f t="shared" si="1638"/>
        <v>3.0833333333333335</v>
      </c>
      <c r="P1163" s="13"/>
      <c r="Q1163" s="13"/>
      <c r="R1163" s="13"/>
      <c r="S1163" s="13"/>
      <c r="T1163" s="13"/>
      <c r="U1163" s="13"/>
      <c r="V1163" s="13"/>
      <c r="W1163" s="13"/>
      <c r="X1163" s="13"/>
      <c r="Y1163" s="13"/>
      <c r="Z1163" s="13"/>
    </row>
    <row r="1164" spans="1:26" s="9" customFormat="1" ht="15.75">
      <c r="A1164" s="37" t="s">
        <v>678</v>
      </c>
      <c r="B1164" s="21">
        <v>12</v>
      </c>
      <c r="C1164" s="21">
        <v>5</v>
      </c>
      <c r="D1164" s="21">
        <v>11</v>
      </c>
      <c r="E1164" s="21">
        <v>6</v>
      </c>
      <c r="F1164" s="21">
        <v>4</v>
      </c>
      <c r="G1164" s="21">
        <v>11</v>
      </c>
      <c r="H1164" s="21">
        <v>8</v>
      </c>
      <c r="I1164" s="21">
        <v>10</v>
      </c>
      <c r="J1164" s="21">
        <f>16+2</f>
        <v>18</v>
      </c>
      <c r="K1164" s="21">
        <v>10</v>
      </c>
      <c r="L1164" s="21">
        <v>18</v>
      </c>
      <c r="M1164" s="21">
        <v>9</v>
      </c>
      <c r="N1164" s="150">
        <f t="shared" si="1637"/>
        <v>122</v>
      </c>
      <c r="O1164" s="22">
        <f t="shared" si="1638"/>
        <v>10.166666666666666</v>
      </c>
      <c r="P1164" s="13"/>
      <c r="Q1164" s="13"/>
      <c r="R1164" s="13"/>
      <c r="S1164" s="13"/>
      <c r="T1164" s="13"/>
      <c r="U1164" s="13"/>
      <c r="V1164" s="13"/>
      <c r="W1164" s="13"/>
      <c r="X1164" s="13"/>
      <c r="Y1164" s="13"/>
      <c r="Z1164" s="13"/>
    </row>
    <row r="1165" spans="1:26" s="9" customFormat="1" ht="15.75">
      <c r="A1165" s="37" t="s">
        <v>411</v>
      </c>
      <c r="B1165" s="21">
        <v>0</v>
      </c>
      <c r="C1165" s="21">
        <v>0</v>
      </c>
      <c r="D1165" s="21">
        <v>0</v>
      </c>
      <c r="E1165" s="21">
        <v>3</v>
      </c>
      <c r="F1165" s="21">
        <v>0</v>
      </c>
      <c r="G1165" s="21">
        <v>8</v>
      </c>
      <c r="H1165" s="21">
        <v>4</v>
      </c>
      <c r="I1165" s="21">
        <v>7</v>
      </c>
      <c r="J1165" s="21">
        <v>9</v>
      </c>
      <c r="K1165" s="21">
        <v>5</v>
      </c>
      <c r="L1165" s="21">
        <v>13</v>
      </c>
      <c r="M1165" s="21">
        <v>4</v>
      </c>
      <c r="N1165" s="150">
        <f t="shared" si="1637"/>
        <v>53</v>
      </c>
      <c r="O1165" s="22">
        <f t="shared" si="1638"/>
        <v>4.416666666666667</v>
      </c>
      <c r="P1165" s="13"/>
      <c r="Q1165" s="13"/>
      <c r="R1165" s="13"/>
      <c r="S1165" s="13"/>
      <c r="T1165" s="13"/>
      <c r="U1165" s="13"/>
      <c r="V1165" s="13"/>
      <c r="W1165" s="13"/>
      <c r="X1165" s="13"/>
      <c r="Y1165" s="13"/>
      <c r="Z1165" s="13"/>
    </row>
    <row r="1166" spans="1:26" s="9" customFormat="1" ht="15.75">
      <c r="A1166" s="37" t="s">
        <v>690</v>
      </c>
      <c r="B1166" s="21">
        <v>0</v>
      </c>
      <c r="C1166" s="21">
        <v>0</v>
      </c>
      <c r="D1166" s="21">
        <v>0</v>
      </c>
      <c r="E1166" s="21">
        <v>0</v>
      </c>
      <c r="F1166" s="21">
        <v>0</v>
      </c>
      <c r="G1166" s="21">
        <v>0</v>
      </c>
      <c r="H1166" s="21">
        <v>2</v>
      </c>
      <c r="I1166" s="21">
        <v>0</v>
      </c>
      <c r="J1166" s="21">
        <v>0</v>
      </c>
      <c r="K1166" s="21">
        <v>2</v>
      </c>
      <c r="L1166" s="21">
        <v>3</v>
      </c>
      <c r="M1166" s="21">
        <v>1</v>
      </c>
      <c r="N1166" s="150">
        <f t="shared" si="1637"/>
        <v>8</v>
      </c>
      <c r="O1166" s="22">
        <f t="shared" si="1638"/>
        <v>0.66666666666666663</v>
      </c>
      <c r="P1166" s="13"/>
      <c r="Q1166" s="13"/>
      <c r="R1166" s="13"/>
      <c r="S1166" s="13"/>
      <c r="T1166" s="13"/>
      <c r="U1166" s="13"/>
      <c r="V1166" s="13"/>
      <c r="W1166" s="13"/>
      <c r="X1166" s="13"/>
      <c r="Y1166" s="13"/>
      <c r="Z1166" s="13"/>
    </row>
    <row r="1167" spans="1:26" s="9" customFormat="1" ht="15.75">
      <c r="A1167" s="37" t="s">
        <v>695</v>
      </c>
      <c r="B1167" s="21">
        <v>0</v>
      </c>
      <c r="C1167" s="21">
        <v>0</v>
      </c>
      <c r="D1167" s="21">
        <v>0</v>
      </c>
      <c r="E1167" s="21">
        <v>0</v>
      </c>
      <c r="F1167" s="21">
        <v>1</v>
      </c>
      <c r="G1167" s="21">
        <v>0</v>
      </c>
      <c r="H1167" s="21">
        <v>0</v>
      </c>
      <c r="I1167" s="21">
        <v>0</v>
      </c>
      <c r="J1167" s="21">
        <v>0</v>
      </c>
      <c r="K1167" s="21">
        <v>0</v>
      </c>
      <c r="L1167" s="21">
        <v>0</v>
      </c>
      <c r="M1167" s="21">
        <v>0</v>
      </c>
      <c r="N1167" s="150">
        <f t="shared" si="1637"/>
        <v>1</v>
      </c>
      <c r="O1167" s="22">
        <f t="shared" si="1638"/>
        <v>8.3333333333333329E-2</v>
      </c>
      <c r="P1167" s="13"/>
      <c r="Q1167" s="13"/>
      <c r="R1167" s="13"/>
      <c r="S1167" s="13"/>
      <c r="T1167" s="13"/>
      <c r="U1167" s="13"/>
      <c r="V1167" s="13"/>
      <c r="W1167" s="13"/>
      <c r="X1167" s="13"/>
      <c r="Y1167" s="13"/>
      <c r="Z1167" s="13"/>
    </row>
    <row r="1168" spans="1:26" s="9" customFormat="1" ht="15.75">
      <c r="A1168" s="37" t="s">
        <v>158</v>
      </c>
      <c r="B1168" s="21">
        <v>1</v>
      </c>
      <c r="C1168" s="21">
        <v>3</v>
      </c>
      <c r="D1168" s="21">
        <v>0</v>
      </c>
      <c r="E1168" s="21">
        <v>0</v>
      </c>
      <c r="F1168" s="21">
        <v>0</v>
      </c>
      <c r="G1168" s="21">
        <v>0</v>
      </c>
      <c r="H1168" s="21">
        <v>1</v>
      </c>
      <c r="I1168" s="21">
        <v>0</v>
      </c>
      <c r="J1168" s="21">
        <v>0</v>
      </c>
      <c r="K1168" s="21">
        <v>0</v>
      </c>
      <c r="L1168" s="21">
        <v>0</v>
      </c>
      <c r="M1168" s="21">
        <v>0</v>
      </c>
      <c r="N1168" s="150">
        <f t="shared" si="1637"/>
        <v>5</v>
      </c>
      <c r="O1168" s="22">
        <f t="shared" si="1638"/>
        <v>0.41666666666666669</v>
      </c>
      <c r="P1168" s="13"/>
      <c r="Q1168" s="13"/>
      <c r="R1168" s="13"/>
      <c r="S1168" s="13"/>
      <c r="T1168" s="13"/>
      <c r="U1168" s="13"/>
      <c r="V1168" s="13"/>
      <c r="W1168" s="13"/>
      <c r="X1168" s="13"/>
      <c r="Y1168" s="13"/>
      <c r="Z1168" s="13"/>
    </row>
    <row r="1169" spans="1:26" s="9" customFormat="1" ht="15.75">
      <c r="A1169" s="37" t="s">
        <v>159</v>
      </c>
      <c r="B1169" s="21">
        <v>0</v>
      </c>
      <c r="C1169" s="21">
        <v>0</v>
      </c>
      <c r="D1169" s="21">
        <v>1</v>
      </c>
      <c r="E1169" s="21">
        <v>0</v>
      </c>
      <c r="F1169" s="21">
        <v>0</v>
      </c>
      <c r="G1169" s="21">
        <v>0</v>
      </c>
      <c r="H1169" s="21">
        <v>1</v>
      </c>
      <c r="I1169" s="21">
        <v>0</v>
      </c>
      <c r="J1169" s="21">
        <v>0</v>
      </c>
      <c r="K1169" s="21">
        <v>0</v>
      </c>
      <c r="L1169" s="21">
        <v>0</v>
      </c>
      <c r="M1169" s="21">
        <v>1</v>
      </c>
      <c r="N1169" s="150">
        <f t="shared" si="1637"/>
        <v>3</v>
      </c>
      <c r="O1169" s="22">
        <f t="shared" si="1638"/>
        <v>0.25</v>
      </c>
      <c r="P1169" s="13"/>
      <c r="Q1169" s="13"/>
      <c r="R1169" s="13"/>
      <c r="S1169" s="13"/>
      <c r="T1169" s="13"/>
      <c r="U1169" s="13"/>
      <c r="V1169" s="13"/>
      <c r="W1169" s="13"/>
      <c r="X1169" s="13"/>
      <c r="Y1169" s="13"/>
      <c r="Z1169" s="13"/>
    </row>
    <row r="1170" spans="1:26" s="9" customFormat="1" ht="15.75">
      <c r="A1170" s="37" t="s">
        <v>160</v>
      </c>
      <c r="B1170" s="21">
        <v>0</v>
      </c>
      <c r="C1170" s="21">
        <v>2</v>
      </c>
      <c r="D1170" s="21">
        <v>8</v>
      </c>
      <c r="E1170" s="21">
        <v>5</v>
      </c>
      <c r="F1170" s="21">
        <v>8</v>
      </c>
      <c r="G1170" s="21">
        <f>2+2</f>
        <v>4</v>
      </c>
      <c r="H1170" s="21">
        <f>4+1+1</f>
        <v>6</v>
      </c>
      <c r="I1170" s="21">
        <f>9+1+1</f>
        <v>11</v>
      </c>
      <c r="J1170" s="21">
        <f>4+2+2</f>
        <v>8</v>
      </c>
      <c r="K1170" s="21">
        <v>15</v>
      </c>
      <c r="L1170" s="21">
        <f>16+1+1</f>
        <v>18</v>
      </c>
      <c r="M1170" s="21">
        <f>13</f>
        <v>13</v>
      </c>
      <c r="N1170" s="150">
        <f t="shared" si="1637"/>
        <v>98</v>
      </c>
      <c r="O1170" s="22">
        <f t="shared" si="1638"/>
        <v>8.1666666666666661</v>
      </c>
      <c r="P1170" s="13"/>
      <c r="Q1170" s="13"/>
      <c r="R1170" s="13"/>
      <c r="S1170" s="13"/>
      <c r="T1170" s="13"/>
      <c r="U1170" s="13"/>
      <c r="V1170" s="13"/>
      <c r="W1170" s="13"/>
      <c r="X1170" s="13"/>
      <c r="Y1170" s="13"/>
      <c r="Z1170" s="13"/>
    </row>
    <row r="1171" spans="1:26" s="9" customFormat="1" ht="15.75">
      <c r="A1171" s="37" t="s">
        <v>298</v>
      </c>
      <c r="B1171" s="21">
        <v>15</v>
      </c>
      <c r="C1171" s="21">
        <v>6</v>
      </c>
      <c r="D1171" s="21">
        <v>23</v>
      </c>
      <c r="E1171" s="21">
        <v>9</v>
      </c>
      <c r="F1171" s="21">
        <v>20</v>
      </c>
      <c r="G1171" s="21">
        <v>19</v>
      </c>
      <c r="H1171" s="21">
        <f>22+6+6</f>
        <v>34</v>
      </c>
      <c r="I1171" s="21">
        <f>22+6+5</f>
        <v>33</v>
      </c>
      <c r="J1171" s="21">
        <f>19+4+4</f>
        <v>27</v>
      </c>
      <c r="K1171" s="21">
        <f>30+1+1</f>
        <v>32</v>
      </c>
      <c r="L1171" s="21">
        <f>23+3+3</f>
        <v>29</v>
      </c>
      <c r="M1171" s="21">
        <f>53</f>
        <v>53</v>
      </c>
      <c r="N1171" s="150">
        <f t="shared" si="1637"/>
        <v>300</v>
      </c>
      <c r="O1171" s="22">
        <f t="shared" si="1638"/>
        <v>25</v>
      </c>
      <c r="P1171" s="8"/>
      <c r="Q1171" s="8"/>
      <c r="R1171" s="8"/>
      <c r="S1171" s="8"/>
      <c r="T1171" s="8"/>
      <c r="U1171" s="8"/>
      <c r="V1171" s="8"/>
      <c r="W1171" s="8"/>
      <c r="X1171" s="8"/>
      <c r="Y1171" s="8"/>
      <c r="Z1171" s="8"/>
    </row>
    <row r="1172" spans="1:26" s="9" customFormat="1" ht="15.75">
      <c r="A1172" s="37" t="s">
        <v>691</v>
      </c>
      <c r="B1172" s="21">
        <v>3</v>
      </c>
      <c r="C1172" s="21">
        <v>4</v>
      </c>
      <c r="D1172" s="21">
        <v>6</v>
      </c>
      <c r="E1172" s="21">
        <v>5</v>
      </c>
      <c r="F1172" s="21">
        <v>3</v>
      </c>
      <c r="G1172" s="21">
        <v>4</v>
      </c>
      <c r="H1172" s="21">
        <v>7</v>
      </c>
      <c r="I1172" s="21">
        <v>4</v>
      </c>
      <c r="J1172" s="21">
        <v>13</v>
      </c>
      <c r="K1172" s="21">
        <v>12</v>
      </c>
      <c r="L1172" s="21">
        <v>13</v>
      </c>
      <c r="M1172" s="21">
        <v>5</v>
      </c>
      <c r="N1172" s="150">
        <f t="shared" si="1633"/>
        <v>79</v>
      </c>
      <c r="O1172" s="22">
        <f t="shared" si="1634"/>
        <v>6.583333333333333</v>
      </c>
      <c r="P1172" s="8"/>
      <c r="Q1172" s="8"/>
      <c r="R1172" s="8"/>
      <c r="S1172" s="8"/>
      <c r="T1172" s="8"/>
      <c r="U1172" s="8"/>
      <c r="V1172" s="8"/>
      <c r="W1172" s="8"/>
      <c r="X1172" s="8"/>
      <c r="Y1172" s="8"/>
      <c r="Z1172" s="8"/>
    </row>
    <row r="1173" spans="1:26" s="9" customFormat="1" ht="15.75">
      <c r="A1173" s="37" t="s">
        <v>161</v>
      </c>
      <c r="B1173" s="21">
        <v>3</v>
      </c>
      <c r="C1173" s="21">
        <v>1</v>
      </c>
      <c r="D1173" s="21">
        <v>7</v>
      </c>
      <c r="E1173" s="21">
        <v>0</v>
      </c>
      <c r="F1173" s="21">
        <v>0</v>
      </c>
      <c r="G1173" s="21">
        <v>1</v>
      </c>
      <c r="H1173" s="21">
        <v>2</v>
      </c>
      <c r="I1173" s="21">
        <v>2</v>
      </c>
      <c r="J1173" s="21">
        <f>3+3+4</f>
        <v>10</v>
      </c>
      <c r="K1173" s="21">
        <f>2+1</f>
        <v>3</v>
      </c>
      <c r="L1173" s="21">
        <v>0</v>
      </c>
      <c r="M1173" s="21">
        <v>1</v>
      </c>
      <c r="N1173" s="150">
        <f t="shared" si="1633"/>
        <v>30</v>
      </c>
      <c r="O1173" s="22">
        <f t="shared" si="1634"/>
        <v>2.5</v>
      </c>
      <c r="P1173" s="8"/>
      <c r="Q1173" s="8"/>
      <c r="R1173" s="8"/>
      <c r="S1173" s="8"/>
      <c r="T1173" s="8"/>
      <c r="U1173" s="8"/>
      <c r="V1173" s="8"/>
      <c r="W1173" s="8"/>
      <c r="X1173" s="8"/>
      <c r="Y1173" s="8"/>
      <c r="Z1173" s="8"/>
    </row>
    <row r="1174" spans="1:26" s="9" customFormat="1" ht="15.75">
      <c r="A1174" s="37" t="s">
        <v>689</v>
      </c>
      <c r="B1174" s="21">
        <v>0</v>
      </c>
      <c r="C1174" s="21">
        <v>0</v>
      </c>
      <c r="D1174" s="21">
        <v>2</v>
      </c>
      <c r="E1174" s="21">
        <v>1</v>
      </c>
      <c r="F1174" s="21">
        <v>0</v>
      </c>
      <c r="G1174" s="21">
        <v>0</v>
      </c>
      <c r="H1174" s="21">
        <v>1</v>
      </c>
      <c r="I1174" s="21">
        <v>0</v>
      </c>
      <c r="J1174" s="21">
        <v>1</v>
      </c>
      <c r="K1174" s="21">
        <v>1</v>
      </c>
      <c r="L1174" s="21">
        <v>0</v>
      </c>
      <c r="M1174" s="21">
        <v>0</v>
      </c>
      <c r="N1174" s="150">
        <f t="shared" si="1633"/>
        <v>6</v>
      </c>
      <c r="O1174" s="22">
        <f t="shared" si="1634"/>
        <v>0.5</v>
      </c>
      <c r="P1174" s="13"/>
      <c r="Q1174" s="13"/>
      <c r="R1174" s="13"/>
      <c r="S1174" s="13"/>
      <c r="T1174" s="13"/>
      <c r="U1174" s="13"/>
      <c r="V1174" s="13"/>
      <c r="W1174" s="13"/>
      <c r="X1174" s="13"/>
      <c r="Y1174" s="13"/>
      <c r="Z1174" s="13"/>
    </row>
    <row r="1175" spans="1:26" s="9" customFormat="1" ht="15.75">
      <c r="A1175" s="37" t="s">
        <v>162</v>
      </c>
      <c r="B1175" s="21">
        <v>5</v>
      </c>
      <c r="C1175" s="21">
        <v>4</v>
      </c>
      <c r="D1175" s="21">
        <v>5</v>
      </c>
      <c r="E1175" s="21">
        <v>4</v>
      </c>
      <c r="F1175" s="21">
        <v>10</v>
      </c>
      <c r="G1175" s="21">
        <v>2</v>
      </c>
      <c r="H1175" s="21">
        <v>16</v>
      </c>
      <c r="I1175" s="21">
        <v>13</v>
      </c>
      <c r="J1175" s="21">
        <v>6</v>
      </c>
      <c r="K1175" s="21">
        <v>7</v>
      </c>
      <c r="L1175" s="21">
        <v>16</v>
      </c>
      <c r="M1175" s="21">
        <v>14</v>
      </c>
      <c r="N1175" s="150">
        <f t="shared" si="1633"/>
        <v>102</v>
      </c>
      <c r="O1175" s="22">
        <f t="shared" si="1634"/>
        <v>8.5</v>
      </c>
      <c r="P1175" s="13"/>
      <c r="Q1175" s="13"/>
      <c r="R1175" s="13"/>
      <c r="S1175" s="13"/>
      <c r="T1175" s="13"/>
      <c r="U1175" s="13"/>
      <c r="V1175" s="13"/>
      <c r="W1175" s="13"/>
      <c r="X1175" s="13"/>
      <c r="Y1175" s="13"/>
      <c r="Z1175" s="13"/>
    </row>
    <row r="1176" spans="1:26" s="9" customFormat="1" ht="15.75">
      <c r="A1176" s="37" t="s">
        <v>163</v>
      </c>
      <c r="B1176" s="21">
        <v>1</v>
      </c>
      <c r="C1176" s="21">
        <v>1</v>
      </c>
      <c r="D1176" s="21">
        <v>3</v>
      </c>
      <c r="E1176" s="21">
        <v>1</v>
      </c>
      <c r="F1176" s="21">
        <v>2</v>
      </c>
      <c r="G1176" s="21">
        <v>3</v>
      </c>
      <c r="H1176" s="21">
        <v>3</v>
      </c>
      <c r="I1176" s="21">
        <v>4</v>
      </c>
      <c r="J1176" s="21">
        <v>3</v>
      </c>
      <c r="K1176" s="21">
        <v>4</v>
      </c>
      <c r="L1176" s="21">
        <v>3</v>
      </c>
      <c r="M1176" s="21">
        <v>2</v>
      </c>
      <c r="N1176" s="150">
        <f t="shared" si="1633"/>
        <v>30</v>
      </c>
      <c r="O1176" s="22">
        <f t="shared" si="1634"/>
        <v>2.5</v>
      </c>
      <c r="P1176" s="63"/>
      <c r="Q1176" s="63"/>
      <c r="R1176" s="63"/>
      <c r="S1176" s="63"/>
      <c r="T1176" s="63"/>
      <c r="U1176" s="63"/>
      <c r="V1176" s="63"/>
      <c r="W1176" s="63"/>
      <c r="X1176" s="63"/>
      <c r="Y1176" s="63"/>
      <c r="Z1176" s="63"/>
    </row>
    <row r="1177" spans="1:26" s="9" customFormat="1" ht="15.75">
      <c r="A1177" s="37" t="s">
        <v>693</v>
      </c>
      <c r="B1177" s="21">
        <v>0</v>
      </c>
      <c r="C1177" s="21">
        <v>1</v>
      </c>
      <c r="D1177" s="21">
        <v>1</v>
      </c>
      <c r="E1177" s="21">
        <v>0</v>
      </c>
      <c r="F1177" s="21">
        <v>0</v>
      </c>
      <c r="G1177" s="21">
        <v>1</v>
      </c>
      <c r="H1177" s="21">
        <v>1</v>
      </c>
      <c r="I1177" s="21">
        <v>0</v>
      </c>
      <c r="J1177" s="21">
        <v>1</v>
      </c>
      <c r="K1177" s="21">
        <v>0</v>
      </c>
      <c r="L1177" s="21">
        <v>0</v>
      </c>
      <c r="M1177" s="21">
        <v>0</v>
      </c>
      <c r="N1177" s="150">
        <f t="shared" si="1633"/>
        <v>5</v>
      </c>
      <c r="O1177" s="22">
        <f t="shared" si="1634"/>
        <v>0.41666666666666669</v>
      </c>
      <c r="P1177" s="13"/>
      <c r="Q1177" s="13"/>
      <c r="R1177" s="13"/>
      <c r="S1177" s="13"/>
      <c r="T1177" s="13"/>
      <c r="U1177" s="13"/>
      <c r="V1177" s="13"/>
      <c r="W1177" s="13"/>
      <c r="X1177" s="13"/>
      <c r="Y1177" s="13"/>
      <c r="Z1177" s="13"/>
    </row>
    <row r="1178" spans="1:26" s="9" customFormat="1" ht="15.75">
      <c r="A1178" s="37" t="s">
        <v>164</v>
      </c>
      <c r="B1178" s="21">
        <v>79</v>
      </c>
      <c r="C1178" s="21">
        <v>74</v>
      </c>
      <c r="D1178" s="21">
        <v>137</v>
      </c>
      <c r="E1178" s="21">
        <v>60</v>
      </c>
      <c r="F1178" s="21">
        <v>78</v>
      </c>
      <c r="G1178" s="21">
        <f>116+13</f>
        <v>129</v>
      </c>
      <c r="H1178" s="21">
        <f>125+24</f>
        <v>149</v>
      </c>
      <c r="I1178" s="21">
        <f>127+14</f>
        <v>141</v>
      </c>
      <c r="J1178" s="21">
        <f>111+7</f>
        <v>118</v>
      </c>
      <c r="K1178" s="21">
        <f>78+18</f>
        <v>96</v>
      </c>
      <c r="L1178" s="21">
        <f>95+23</f>
        <v>118</v>
      </c>
      <c r="M1178" s="21">
        <f>111+44</f>
        <v>155</v>
      </c>
      <c r="N1178" s="150">
        <f t="shared" si="1633"/>
        <v>1334</v>
      </c>
      <c r="O1178" s="22">
        <f t="shared" si="1634"/>
        <v>111.16666666666667</v>
      </c>
      <c r="P1178" s="8"/>
      <c r="Q1178" s="8"/>
      <c r="R1178" s="8"/>
      <c r="S1178" s="8"/>
      <c r="T1178" s="8"/>
      <c r="U1178" s="8"/>
      <c r="V1178" s="8"/>
      <c r="W1178" s="8"/>
      <c r="X1178" s="8"/>
      <c r="Y1178" s="8"/>
      <c r="Z1178" s="8"/>
    </row>
    <row r="1179" spans="1:26" s="9" customFormat="1" ht="15.75">
      <c r="A1179" s="37" t="s">
        <v>165</v>
      </c>
      <c r="B1179" s="21">
        <v>2</v>
      </c>
      <c r="C1179" s="21">
        <v>4</v>
      </c>
      <c r="D1179" s="21">
        <v>7</v>
      </c>
      <c r="E1179" s="21">
        <v>2</v>
      </c>
      <c r="F1179" s="21">
        <v>2</v>
      </c>
      <c r="G1179" s="21">
        <v>3</v>
      </c>
      <c r="H1179" s="21">
        <v>3</v>
      </c>
      <c r="I1179" s="21">
        <v>4</v>
      </c>
      <c r="J1179" s="21">
        <v>5</v>
      </c>
      <c r="K1179" s="21">
        <v>12</v>
      </c>
      <c r="L1179" s="21">
        <v>11</v>
      </c>
      <c r="M1179" s="21">
        <v>12</v>
      </c>
      <c r="N1179" s="150">
        <f t="shared" si="1633"/>
        <v>67</v>
      </c>
      <c r="O1179" s="22">
        <f t="shared" si="1634"/>
        <v>5.583333333333333</v>
      </c>
      <c r="P1179" s="8"/>
      <c r="Q1179" s="8"/>
      <c r="R1179" s="8"/>
      <c r="S1179" s="8"/>
      <c r="T1179" s="8"/>
      <c r="U1179" s="8"/>
      <c r="V1179" s="8"/>
      <c r="W1179" s="8"/>
      <c r="X1179" s="8"/>
      <c r="Y1179" s="8"/>
      <c r="Z1179" s="8"/>
    </row>
    <row r="1180" spans="1:26" s="9" customFormat="1" ht="15.75">
      <c r="A1180" s="37" t="s">
        <v>22</v>
      </c>
      <c r="B1180" s="21">
        <v>10</v>
      </c>
      <c r="C1180" s="21">
        <v>2</v>
      </c>
      <c r="D1180" s="21">
        <v>11</v>
      </c>
      <c r="E1180" s="21">
        <v>0</v>
      </c>
      <c r="F1180" s="21">
        <v>4</v>
      </c>
      <c r="G1180" s="21">
        <f>5+1</f>
        <v>6</v>
      </c>
      <c r="H1180" s="21">
        <v>6</v>
      </c>
      <c r="I1180" s="21">
        <v>1</v>
      </c>
      <c r="J1180" s="21">
        <f>3+1</f>
        <v>4</v>
      </c>
      <c r="K1180" s="21">
        <f>2+2+2+1</f>
        <v>7</v>
      </c>
      <c r="L1180" s="21">
        <v>1</v>
      </c>
      <c r="M1180" s="21">
        <v>0</v>
      </c>
      <c r="N1180" s="150">
        <f t="shared" si="1633"/>
        <v>52</v>
      </c>
      <c r="O1180" s="22">
        <f t="shared" si="1634"/>
        <v>4.333333333333333</v>
      </c>
      <c r="P1180" s="8"/>
      <c r="Q1180" s="8"/>
      <c r="R1180" s="8"/>
      <c r="S1180" s="8"/>
      <c r="T1180" s="8"/>
      <c r="U1180" s="8"/>
      <c r="V1180" s="8"/>
      <c r="W1180" s="8"/>
      <c r="X1180" s="8"/>
      <c r="Y1180" s="8"/>
      <c r="Z1180" s="8"/>
    </row>
    <row r="1181" spans="1:26" s="9" customFormat="1" ht="15.75">
      <c r="A1181" s="62" t="s">
        <v>21</v>
      </c>
      <c r="B1181" s="24">
        <f t="shared" ref="B1181:G1181" si="1639">SUM(B1157:B1180)</f>
        <v>135</v>
      </c>
      <c r="C1181" s="24">
        <f t="shared" si="1639"/>
        <v>109</v>
      </c>
      <c r="D1181" s="24">
        <f t="shared" si="1639"/>
        <v>235</v>
      </c>
      <c r="E1181" s="24">
        <f t="shared" si="1639"/>
        <v>98</v>
      </c>
      <c r="F1181" s="24">
        <f t="shared" si="1639"/>
        <v>134</v>
      </c>
      <c r="G1181" s="24">
        <f t="shared" si="1639"/>
        <v>194</v>
      </c>
      <c r="H1181" s="24">
        <f t="shared" ref="H1181:I1181" si="1640">SUM(H1157:H1180)</f>
        <v>251</v>
      </c>
      <c r="I1181" s="24">
        <f t="shared" si="1640"/>
        <v>238</v>
      </c>
      <c r="J1181" s="24">
        <f t="shared" ref="J1181:K1181" si="1641">SUM(J1157:J1180)</f>
        <v>233</v>
      </c>
      <c r="K1181" s="24">
        <f t="shared" si="1641"/>
        <v>216</v>
      </c>
      <c r="L1181" s="24">
        <f t="shared" ref="L1181:M1181" si="1642">SUM(L1157:L1180)</f>
        <v>259</v>
      </c>
      <c r="M1181" s="24">
        <f t="shared" si="1642"/>
        <v>270</v>
      </c>
      <c r="N1181" s="144">
        <f>SUM(N1157:N1180)</f>
        <v>2372</v>
      </c>
      <c r="O1181" s="25">
        <f>SUM(O1157:O1180)</f>
        <v>197.66666666666669</v>
      </c>
      <c r="P1181" s="8"/>
      <c r="Q1181" s="8"/>
      <c r="R1181" s="8"/>
      <c r="S1181" s="8"/>
      <c r="T1181" s="8"/>
      <c r="U1181" s="8"/>
      <c r="V1181" s="8"/>
      <c r="W1181" s="8"/>
      <c r="X1181" s="8"/>
      <c r="Y1181" s="8"/>
      <c r="Z1181" s="8"/>
    </row>
    <row r="1182" spans="1:26" s="9" customFormat="1" ht="15.75">
      <c r="A1182" s="62" t="s">
        <v>112</v>
      </c>
      <c r="B1182" s="25">
        <f t="shared" ref="B1182:G1182" si="1643">IF(B1181=0,"",B1181/B$1870)</f>
        <v>4.354838709677419</v>
      </c>
      <c r="C1182" s="25">
        <f t="shared" si="1643"/>
        <v>3.8928571428571428</v>
      </c>
      <c r="D1182" s="25">
        <f t="shared" si="1643"/>
        <v>7.580645161290323</v>
      </c>
      <c r="E1182" s="25">
        <f t="shared" si="1643"/>
        <v>3.2666666666666666</v>
      </c>
      <c r="F1182" s="25">
        <f t="shared" si="1643"/>
        <v>4.32258064516129</v>
      </c>
      <c r="G1182" s="25">
        <f t="shared" si="1643"/>
        <v>6.4666666666666668</v>
      </c>
      <c r="H1182" s="25">
        <f t="shared" ref="H1182:I1182" si="1644">IF(H1181=0,"",H1181/H$1870)</f>
        <v>8.0967741935483879</v>
      </c>
      <c r="I1182" s="25">
        <f t="shared" si="1644"/>
        <v>7.67741935483871</v>
      </c>
      <c r="J1182" s="25">
        <f t="shared" ref="J1182:K1182" si="1645">IF(J1181=0,"",J1181/J$1870)</f>
        <v>7.7666666666666666</v>
      </c>
      <c r="K1182" s="25">
        <f t="shared" si="1645"/>
        <v>6.967741935483871</v>
      </c>
      <c r="L1182" s="25">
        <f t="shared" ref="L1182:M1182" si="1646">IF(L1181=0,"",L1181/L$1870)</f>
        <v>8.6333333333333329</v>
      </c>
      <c r="M1182" s="25">
        <f t="shared" si="1646"/>
        <v>8.7096774193548381</v>
      </c>
      <c r="N1182" s="144">
        <f>SUM(B1182:M1182)</f>
        <v>77.735867895545312</v>
      </c>
      <c r="O1182" s="25">
        <f>IF(N1182=0,0,AVERAGE(B1182:M1182))</f>
        <v>6.4779889912954429</v>
      </c>
      <c r="P1182" s="8"/>
      <c r="Q1182" s="8"/>
      <c r="R1182" s="8"/>
      <c r="S1182" s="8"/>
      <c r="T1182" s="8"/>
      <c r="U1182" s="8"/>
      <c r="V1182" s="8"/>
      <c r="W1182" s="8"/>
      <c r="X1182" s="8"/>
      <c r="Y1182" s="8"/>
      <c r="Z1182" s="8"/>
    </row>
    <row r="1183" spans="1:26" s="9" customFormat="1">
      <c r="A1183" s="26"/>
      <c r="B1183" s="27"/>
      <c r="C1183" s="27"/>
      <c r="D1183" s="27"/>
      <c r="E1183" s="28"/>
      <c r="F1183" s="28"/>
      <c r="G1183" s="28"/>
      <c r="H1183" s="28"/>
      <c r="I1183" s="28"/>
      <c r="J1183" s="28"/>
      <c r="K1183" s="28"/>
      <c r="L1183" s="28"/>
      <c r="M1183" s="28"/>
      <c r="N1183" s="151"/>
      <c r="O1183" s="16"/>
      <c r="P1183" s="8"/>
      <c r="Q1183" s="8"/>
      <c r="R1183" s="8"/>
      <c r="S1183" s="8"/>
      <c r="T1183" s="8"/>
      <c r="U1183" s="8"/>
      <c r="V1183" s="8"/>
      <c r="W1183" s="8"/>
      <c r="X1183" s="8"/>
      <c r="Y1183" s="8"/>
      <c r="Z1183" s="8"/>
    </row>
    <row r="1184" spans="1:26" s="9" customFormat="1" ht="15.75">
      <c r="A1184" s="66" t="s">
        <v>616</v>
      </c>
      <c r="B1184" s="18"/>
      <c r="C1184" s="18"/>
      <c r="D1184" s="18"/>
      <c r="E1184" s="18"/>
      <c r="F1184" s="18"/>
      <c r="G1184" s="18"/>
      <c r="H1184" s="18"/>
      <c r="I1184" s="18"/>
      <c r="J1184" s="18"/>
      <c r="K1184" s="18"/>
      <c r="L1184" s="18"/>
      <c r="M1184" s="18"/>
      <c r="N1184" s="149"/>
      <c r="O1184" s="19"/>
      <c r="P1184" s="8"/>
      <c r="Q1184" s="8"/>
      <c r="R1184" s="8"/>
      <c r="S1184" s="8"/>
      <c r="T1184" s="8"/>
      <c r="U1184" s="8"/>
      <c r="V1184" s="8"/>
      <c r="W1184" s="8"/>
      <c r="X1184" s="8"/>
      <c r="Y1184" s="8"/>
      <c r="Z1184" s="8"/>
    </row>
    <row r="1185" spans="1:26" s="9" customFormat="1" ht="15.75">
      <c r="A1185" s="37" t="s">
        <v>166</v>
      </c>
      <c r="B1185" s="21">
        <f t="shared" ref="B1185:C1185" si="1647">B1181</f>
        <v>135</v>
      </c>
      <c r="C1185" s="21">
        <f t="shared" si="1647"/>
        <v>109</v>
      </c>
      <c r="D1185" s="21">
        <f t="shared" ref="D1185:E1185" si="1648">D1181</f>
        <v>235</v>
      </c>
      <c r="E1185" s="21">
        <f t="shared" si="1648"/>
        <v>98</v>
      </c>
      <c r="F1185" s="21">
        <f t="shared" ref="F1185:G1185" si="1649">F1181</f>
        <v>134</v>
      </c>
      <c r="G1185" s="21">
        <f t="shared" si="1649"/>
        <v>194</v>
      </c>
      <c r="H1185" s="21">
        <f t="shared" ref="H1185:I1185" si="1650">H1181</f>
        <v>251</v>
      </c>
      <c r="I1185" s="21">
        <f t="shared" si="1650"/>
        <v>238</v>
      </c>
      <c r="J1185" s="21">
        <f t="shared" ref="J1185:K1185" si="1651">J1181</f>
        <v>233</v>
      </c>
      <c r="K1185" s="21">
        <f t="shared" si="1651"/>
        <v>216</v>
      </c>
      <c r="L1185" s="21">
        <f t="shared" ref="L1185:M1185" si="1652">L1181</f>
        <v>259</v>
      </c>
      <c r="M1185" s="21">
        <f t="shared" si="1652"/>
        <v>270</v>
      </c>
      <c r="N1185" s="150">
        <f>N1181</f>
        <v>2372</v>
      </c>
      <c r="O1185" s="22">
        <f>O1181</f>
        <v>197.66666666666669</v>
      </c>
      <c r="P1185" s="8"/>
      <c r="Q1185" s="8"/>
      <c r="R1185" s="8"/>
      <c r="S1185" s="8"/>
      <c r="T1185" s="8"/>
      <c r="U1185" s="8"/>
      <c r="V1185" s="8"/>
      <c r="W1185" s="8"/>
      <c r="X1185" s="8"/>
      <c r="Y1185" s="8"/>
      <c r="Z1185" s="8"/>
    </row>
    <row r="1186" spans="1:26" s="9" customFormat="1" ht="15.75">
      <c r="A1186" s="62" t="s">
        <v>21</v>
      </c>
      <c r="B1186" s="24">
        <f t="shared" ref="B1186:C1186" si="1653">IF(SUM(B1185)=0,"",SUM(B1185))</f>
        <v>135</v>
      </c>
      <c r="C1186" s="24">
        <f t="shared" si="1653"/>
        <v>109</v>
      </c>
      <c r="D1186" s="24">
        <f t="shared" ref="D1186" si="1654">IF(SUM(D1185)=0,"",SUM(D1185))</f>
        <v>235</v>
      </c>
      <c r="E1186" s="24">
        <f t="shared" ref="E1186:F1186" si="1655">IF(SUM(E1185)=0,"",SUM(E1185))</f>
        <v>98</v>
      </c>
      <c r="F1186" s="24">
        <f t="shared" si="1655"/>
        <v>134</v>
      </c>
      <c r="G1186" s="24">
        <f t="shared" ref="G1186:H1186" si="1656">IF(SUM(G1185)=0,"",SUM(G1185))</f>
        <v>194</v>
      </c>
      <c r="H1186" s="24">
        <f t="shared" si="1656"/>
        <v>251</v>
      </c>
      <c r="I1186" s="24">
        <f t="shared" ref="I1186:J1186" si="1657">IF(SUM(I1185)=0,"",SUM(I1185))</f>
        <v>238</v>
      </c>
      <c r="J1186" s="24">
        <f t="shared" si="1657"/>
        <v>233</v>
      </c>
      <c r="K1186" s="24">
        <f t="shared" ref="K1186:L1186" si="1658">IF(SUM(K1185)=0,"",SUM(K1185))</f>
        <v>216</v>
      </c>
      <c r="L1186" s="24">
        <f t="shared" si="1658"/>
        <v>259</v>
      </c>
      <c r="M1186" s="24">
        <f t="shared" ref="M1186" si="1659">IF(SUM(M1185)=0,"",SUM(M1185))</f>
        <v>270</v>
      </c>
      <c r="N1186" s="144">
        <f>SUM(B1186:M1186)</f>
        <v>2372</v>
      </c>
      <c r="O1186" s="25">
        <f>IF(N1186=0,0,AVERAGE(B1186:M1186))</f>
        <v>197.66666666666666</v>
      </c>
      <c r="P1186" s="8"/>
      <c r="Q1186" s="8"/>
      <c r="R1186" s="8"/>
      <c r="S1186" s="8"/>
      <c r="T1186" s="8"/>
      <c r="U1186" s="8"/>
      <c r="V1186" s="8"/>
      <c r="W1186" s="8"/>
      <c r="X1186" s="8"/>
      <c r="Y1186" s="8"/>
      <c r="Z1186" s="8"/>
    </row>
    <row r="1187" spans="1:26" s="9" customFormat="1" ht="15.75">
      <c r="A1187" s="62" t="s">
        <v>112</v>
      </c>
      <c r="B1187" s="25">
        <f t="shared" ref="B1187:G1187" si="1660">IF(B1186=0,"",B1186/B$1870)</f>
        <v>4.354838709677419</v>
      </c>
      <c r="C1187" s="25">
        <f t="shared" si="1660"/>
        <v>3.8928571428571428</v>
      </c>
      <c r="D1187" s="25">
        <f t="shared" si="1660"/>
        <v>7.580645161290323</v>
      </c>
      <c r="E1187" s="25">
        <f t="shared" si="1660"/>
        <v>3.2666666666666666</v>
      </c>
      <c r="F1187" s="25">
        <f t="shared" si="1660"/>
        <v>4.32258064516129</v>
      </c>
      <c r="G1187" s="25">
        <f t="shared" si="1660"/>
        <v>6.4666666666666668</v>
      </c>
      <c r="H1187" s="25">
        <f t="shared" ref="H1187:I1187" si="1661">IF(H1186=0,"",H1186/H$1870)</f>
        <v>8.0967741935483879</v>
      </c>
      <c r="I1187" s="25">
        <f t="shared" si="1661"/>
        <v>7.67741935483871</v>
      </c>
      <c r="J1187" s="25">
        <f t="shared" ref="J1187:K1187" si="1662">IF(J1186=0,"",J1186/J$1870)</f>
        <v>7.7666666666666666</v>
      </c>
      <c r="K1187" s="25">
        <f t="shared" si="1662"/>
        <v>6.967741935483871</v>
      </c>
      <c r="L1187" s="25">
        <f t="shared" ref="L1187:M1187" si="1663">IF(L1186=0,"",L1186/L$1870)</f>
        <v>8.6333333333333329</v>
      </c>
      <c r="M1187" s="25">
        <f t="shared" si="1663"/>
        <v>8.7096774193548381</v>
      </c>
      <c r="N1187" s="144">
        <f>SUM(B1187:M1187)</f>
        <v>77.735867895545312</v>
      </c>
      <c r="O1187" s="25">
        <f>IF(N1187=0,0,AVERAGE(B1187:M1187))</f>
        <v>6.4779889912954429</v>
      </c>
      <c r="P1187" s="13"/>
      <c r="Q1187" s="13"/>
      <c r="R1187" s="13"/>
      <c r="S1187" s="13"/>
      <c r="T1187" s="13"/>
      <c r="U1187" s="13"/>
      <c r="V1187" s="13"/>
      <c r="W1187" s="13"/>
      <c r="X1187" s="13"/>
      <c r="Y1187" s="13"/>
      <c r="Z1187" s="13"/>
    </row>
    <row r="1188" spans="1:26" s="9" customFormat="1" ht="15.75">
      <c r="A1188" s="26"/>
      <c r="B1188" s="27"/>
      <c r="C1188" s="27"/>
      <c r="D1188" s="27"/>
      <c r="E1188" s="28"/>
      <c r="F1188" s="28"/>
      <c r="G1188" s="28"/>
      <c r="H1188" s="28"/>
      <c r="I1188" s="28"/>
      <c r="J1188" s="28"/>
      <c r="K1188" s="28"/>
      <c r="L1188" s="28"/>
      <c r="M1188" s="28"/>
      <c r="N1188" s="151"/>
      <c r="O1188" s="57"/>
      <c r="P1188" s="8"/>
      <c r="Q1188" s="8"/>
      <c r="R1188" s="8"/>
      <c r="S1188" s="8"/>
      <c r="T1188" s="8"/>
      <c r="U1188" s="8"/>
      <c r="V1188" s="8"/>
      <c r="W1188" s="8"/>
      <c r="X1188" s="8"/>
      <c r="Y1188" s="8"/>
      <c r="Z1188" s="8"/>
    </row>
    <row r="1189" spans="1:26" s="9" customFormat="1" ht="15.75">
      <c r="A1189" s="66" t="s">
        <v>617</v>
      </c>
      <c r="B1189" s="18"/>
      <c r="C1189" s="18"/>
      <c r="D1189" s="18"/>
      <c r="E1189" s="18"/>
      <c r="F1189" s="18"/>
      <c r="G1189" s="18"/>
      <c r="H1189" s="18"/>
      <c r="I1189" s="18"/>
      <c r="J1189" s="18"/>
      <c r="K1189" s="18"/>
      <c r="L1189" s="18"/>
      <c r="M1189" s="18"/>
      <c r="N1189" s="149"/>
      <c r="O1189" s="19"/>
      <c r="P1189" s="8"/>
      <c r="Q1189" s="8"/>
      <c r="R1189" s="8"/>
      <c r="S1189" s="8"/>
      <c r="T1189" s="8"/>
      <c r="U1189" s="8"/>
      <c r="V1189" s="8"/>
      <c r="W1189" s="8"/>
      <c r="X1189" s="8"/>
      <c r="Y1189" s="8"/>
      <c r="Z1189" s="8"/>
    </row>
    <row r="1190" spans="1:26" s="9" customFormat="1" ht="15.75">
      <c r="A1190" s="37" t="s">
        <v>167</v>
      </c>
      <c r="B1190" s="21">
        <v>0</v>
      </c>
      <c r="C1190" s="21">
        <v>0</v>
      </c>
      <c r="D1190" s="21">
        <v>0</v>
      </c>
      <c r="E1190" s="21">
        <v>0</v>
      </c>
      <c r="F1190" s="21">
        <v>0</v>
      </c>
      <c r="G1190" s="21">
        <v>0</v>
      </c>
      <c r="H1190" s="21">
        <v>0</v>
      </c>
      <c r="I1190" s="21">
        <v>0</v>
      </c>
      <c r="J1190" s="87">
        <v>0</v>
      </c>
      <c r="K1190" s="21">
        <v>0</v>
      </c>
      <c r="L1190" s="21">
        <v>0</v>
      </c>
      <c r="M1190" s="21">
        <v>0</v>
      </c>
      <c r="N1190" s="150">
        <f>SUM(B1190:M1190)</f>
        <v>0</v>
      </c>
      <c r="O1190" s="22">
        <f>IF(N1190=0,0,AVERAGE(B1190:M1190))</f>
        <v>0</v>
      </c>
      <c r="P1190" s="8"/>
      <c r="Q1190" s="8"/>
      <c r="R1190" s="8"/>
      <c r="S1190" s="8"/>
      <c r="T1190" s="8"/>
      <c r="U1190" s="8"/>
      <c r="V1190" s="8"/>
      <c r="W1190" s="8"/>
      <c r="X1190" s="8"/>
      <c r="Y1190" s="8"/>
      <c r="Z1190" s="8"/>
    </row>
    <row r="1191" spans="1:26" s="9" customFormat="1" ht="15.75">
      <c r="A1191" s="37" t="s">
        <v>168</v>
      </c>
      <c r="B1191" s="21">
        <v>0</v>
      </c>
      <c r="C1191" s="21">
        <v>0</v>
      </c>
      <c r="D1191" s="21">
        <v>0</v>
      </c>
      <c r="E1191" s="21">
        <v>0</v>
      </c>
      <c r="F1191" s="21">
        <v>0</v>
      </c>
      <c r="G1191" s="21">
        <v>0</v>
      </c>
      <c r="H1191" s="21">
        <v>0</v>
      </c>
      <c r="I1191" s="21">
        <v>0</v>
      </c>
      <c r="J1191" s="87">
        <v>0</v>
      </c>
      <c r="K1191" s="21">
        <v>0</v>
      </c>
      <c r="L1191" s="21">
        <v>0</v>
      </c>
      <c r="M1191" s="21">
        <v>0</v>
      </c>
      <c r="N1191" s="150">
        <f>SUM(B1191:M1191)</f>
        <v>0</v>
      </c>
      <c r="O1191" s="22">
        <f>IF(N1191=0,0,AVERAGE(B1191:M1191))</f>
        <v>0</v>
      </c>
      <c r="P1191" s="8"/>
      <c r="Q1191" s="8"/>
      <c r="R1191" s="8"/>
      <c r="S1191" s="8"/>
      <c r="T1191" s="8"/>
      <c r="U1191" s="8"/>
      <c r="V1191" s="8"/>
      <c r="W1191" s="8"/>
      <c r="X1191" s="8"/>
      <c r="Y1191" s="8"/>
      <c r="Z1191" s="8"/>
    </row>
    <row r="1192" spans="1:26" s="9" customFormat="1" ht="15.75">
      <c r="A1192" s="37" t="s">
        <v>324</v>
      </c>
      <c r="B1192" s="21">
        <v>0</v>
      </c>
      <c r="C1192" s="21">
        <v>0</v>
      </c>
      <c r="D1192" s="21">
        <v>0</v>
      </c>
      <c r="E1192" s="21">
        <v>0</v>
      </c>
      <c r="F1192" s="21">
        <v>0</v>
      </c>
      <c r="G1192" s="21">
        <v>0</v>
      </c>
      <c r="H1192" s="21">
        <v>0</v>
      </c>
      <c r="I1192" s="21">
        <v>0</v>
      </c>
      <c r="J1192" s="21">
        <v>0</v>
      </c>
      <c r="K1192" s="21">
        <v>0</v>
      </c>
      <c r="L1192" s="21">
        <v>0</v>
      </c>
      <c r="M1192" s="21">
        <v>0</v>
      </c>
      <c r="N1192" s="150">
        <f>SUM(B1192:M1192)</f>
        <v>0</v>
      </c>
      <c r="O1192" s="22">
        <f>IF(N1192=0,0,AVERAGE(B1192:M1192))</f>
        <v>0</v>
      </c>
      <c r="P1192" s="8"/>
      <c r="Q1192" s="8"/>
      <c r="R1192" s="8"/>
      <c r="S1192" s="8"/>
      <c r="T1192" s="8"/>
      <c r="U1192" s="8"/>
      <c r="V1192" s="8"/>
      <c r="W1192" s="8"/>
      <c r="X1192" s="8"/>
      <c r="Y1192" s="8"/>
      <c r="Z1192" s="8"/>
    </row>
    <row r="1193" spans="1:26" s="9" customFormat="1" ht="15.75">
      <c r="A1193" s="113" t="s">
        <v>311</v>
      </c>
      <c r="B1193" s="21">
        <v>208</v>
      </c>
      <c r="C1193" s="21">
        <v>205</v>
      </c>
      <c r="D1193" s="21">
        <v>269</v>
      </c>
      <c r="E1193" s="21">
        <v>174</v>
      </c>
      <c r="F1193" s="21">
        <v>189</v>
      </c>
      <c r="G1193" s="21">
        <v>205</v>
      </c>
      <c r="H1193" s="21">
        <v>303</v>
      </c>
      <c r="I1193" s="21">
        <v>326</v>
      </c>
      <c r="J1193" s="21">
        <v>318</v>
      </c>
      <c r="K1193" s="21">
        <v>284</v>
      </c>
      <c r="L1193" s="21">
        <v>283</v>
      </c>
      <c r="M1193" s="21">
        <v>260</v>
      </c>
      <c r="N1193" s="150">
        <f>SUM(B1193:M1193)</f>
        <v>3024</v>
      </c>
      <c r="O1193" s="22">
        <f>IF(N1193=0,0,AVERAGE(B1193:M1193))</f>
        <v>252</v>
      </c>
      <c r="P1193" s="8"/>
      <c r="Q1193" s="8"/>
      <c r="R1193" s="8"/>
      <c r="S1193" s="8"/>
      <c r="T1193" s="8"/>
      <c r="U1193" s="8"/>
      <c r="V1193" s="8"/>
      <c r="W1193" s="8"/>
      <c r="X1193" s="8"/>
      <c r="Y1193" s="8"/>
      <c r="Z1193" s="8"/>
    </row>
    <row r="1194" spans="1:26" s="9" customFormat="1" ht="15.75">
      <c r="A1194" s="113" t="s">
        <v>312</v>
      </c>
      <c r="B1194" s="21">
        <v>232</v>
      </c>
      <c r="C1194" s="21">
        <v>201</v>
      </c>
      <c r="D1194" s="21">
        <v>249</v>
      </c>
      <c r="E1194" s="21">
        <v>142</v>
      </c>
      <c r="F1194" s="21">
        <v>153</v>
      </c>
      <c r="G1194" s="21">
        <v>198</v>
      </c>
      <c r="H1194" s="21">
        <v>247</v>
      </c>
      <c r="I1194" s="21">
        <v>305</v>
      </c>
      <c r="J1194" s="21">
        <v>301</v>
      </c>
      <c r="K1194" s="21">
        <v>253</v>
      </c>
      <c r="L1194" s="21">
        <v>309</v>
      </c>
      <c r="M1194" s="21">
        <v>316</v>
      </c>
      <c r="N1194" s="150">
        <f>SUM(B1194:M1194)</f>
        <v>2906</v>
      </c>
      <c r="O1194" s="22">
        <f>IF(N1194=0,0,AVERAGE(B1194:M1194))</f>
        <v>242.16666666666666</v>
      </c>
      <c r="P1194" s="8"/>
      <c r="Q1194" s="8"/>
      <c r="R1194" s="8"/>
      <c r="S1194" s="8"/>
      <c r="T1194" s="8"/>
      <c r="U1194" s="8"/>
      <c r="V1194" s="8"/>
      <c r="W1194" s="8"/>
      <c r="X1194" s="8"/>
      <c r="Y1194" s="8"/>
      <c r="Z1194" s="8"/>
    </row>
    <row r="1195" spans="1:26" s="9" customFormat="1" ht="15.75">
      <c r="A1195" s="62" t="s">
        <v>21</v>
      </c>
      <c r="B1195" s="24">
        <f t="shared" ref="B1195:C1195" si="1664">SUM(B1190:B1194)</f>
        <v>440</v>
      </c>
      <c r="C1195" s="24">
        <f t="shared" si="1664"/>
        <v>406</v>
      </c>
      <c r="D1195" s="24">
        <f t="shared" ref="D1195" si="1665">SUM(D1190:D1194)</f>
        <v>518</v>
      </c>
      <c r="E1195" s="24">
        <f t="shared" ref="E1195:F1195" si="1666">SUM(E1190:E1194)</f>
        <v>316</v>
      </c>
      <c r="F1195" s="24">
        <f t="shared" si="1666"/>
        <v>342</v>
      </c>
      <c r="G1195" s="24">
        <f t="shared" ref="G1195:H1195" si="1667">SUM(G1190:G1194)</f>
        <v>403</v>
      </c>
      <c r="H1195" s="24">
        <f t="shared" si="1667"/>
        <v>550</v>
      </c>
      <c r="I1195" s="24">
        <f t="shared" ref="I1195:K1195" si="1668">SUM(I1190:I1194)</f>
        <v>631</v>
      </c>
      <c r="J1195" s="24">
        <f t="shared" si="1668"/>
        <v>619</v>
      </c>
      <c r="K1195" s="24">
        <f t="shared" si="1668"/>
        <v>537</v>
      </c>
      <c r="L1195" s="24">
        <f t="shared" ref="L1195:M1195" si="1669">SUM(L1190:L1194)</f>
        <v>592</v>
      </c>
      <c r="M1195" s="24">
        <f t="shared" si="1669"/>
        <v>576</v>
      </c>
      <c r="N1195" s="144">
        <f>SUM(N1190:N1194)</f>
        <v>5930</v>
      </c>
      <c r="O1195" s="25">
        <f>SUM(O1190:O1194)</f>
        <v>494.16666666666663</v>
      </c>
      <c r="P1195" s="8"/>
      <c r="Q1195" s="8"/>
      <c r="R1195" s="8"/>
      <c r="S1195" s="8"/>
      <c r="T1195" s="8"/>
      <c r="U1195" s="8"/>
      <c r="V1195" s="8"/>
      <c r="W1195" s="8"/>
      <c r="X1195" s="8"/>
      <c r="Y1195" s="8"/>
      <c r="Z1195" s="8"/>
    </row>
    <row r="1196" spans="1:26" s="9" customFormat="1" ht="15.75">
      <c r="A1196" s="62" t="s">
        <v>112</v>
      </c>
      <c r="B1196" s="25">
        <f t="shared" ref="B1196:G1196" si="1670">IF(B1195=0,"",B1195/B$1870)</f>
        <v>14.193548387096774</v>
      </c>
      <c r="C1196" s="25">
        <f t="shared" si="1670"/>
        <v>14.5</v>
      </c>
      <c r="D1196" s="25">
        <f t="shared" si="1670"/>
        <v>16.70967741935484</v>
      </c>
      <c r="E1196" s="25">
        <f t="shared" si="1670"/>
        <v>10.533333333333333</v>
      </c>
      <c r="F1196" s="25">
        <f t="shared" si="1670"/>
        <v>11.03225806451613</v>
      </c>
      <c r="G1196" s="25">
        <f t="shared" si="1670"/>
        <v>13.433333333333334</v>
      </c>
      <c r="H1196" s="25">
        <f t="shared" ref="H1196:I1196" si="1671">IF(H1195=0,"",H1195/H$1870)</f>
        <v>17.741935483870968</v>
      </c>
      <c r="I1196" s="25">
        <f t="shared" si="1671"/>
        <v>20.35483870967742</v>
      </c>
      <c r="J1196" s="25">
        <f t="shared" ref="J1196:K1196" si="1672">IF(J1195=0,"",J1195/J$1870)</f>
        <v>20.633333333333333</v>
      </c>
      <c r="K1196" s="25">
        <f t="shared" si="1672"/>
        <v>17.322580645161292</v>
      </c>
      <c r="L1196" s="25">
        <f t="shared" ref="L1196:M1196" si="1673">IF(L1195=0,"",L1195/L$1870)</f>
        <v>19.733333333333334</v>
      </c>
      <c r="M1196" s="25">
        <f t="shared" si="1673"/>
        <v>18.580645161290324</v>
      </c>
      <c r="N1196" s="144">
        <f>SUM(B1196:M1196)</f>
        <v>194.76881720430109</v>
      </c>
      <c r="O1196" s="25">
        <f>IF(N1196=0,0,AVERAGE(B1196:M1196))</f>
        <v>16.230734767025091</v>
      </c>
      <c r="P1196" s="8"/>
      <c r="Q1196" s="8"/>
      <c r="R1196" s="8"/>
      <c r="S1196" s="8"/>
      <c r="T1196" s="8"/>
      <c r="U1196" s="8"/>
      <c r="V1196" s="8"/>
      <c r="W1196" s="8"/>
      <c r="X1196" s="8"/>
      <c r="Y1196" s="8"/>
      <c r="Z1196" s="8"/>
    </row>
    <row r="1197" spans="1:26" s="9" customFormat="1" ht="15.75">
      <c r="A1197" s="26"/>
      <c r="B1197" s="27"/>
      <c r="C1197" s="27"/>
      <c r="D1197" s="27"/>
      <c r="E1197" s="27"/>
      <c r="F1197" s="28"/>
      <c r="G1197" s="28"/>
      <c r="H1197" s="28"/>
      <c r="I1197" s="28"/>
      <c r="J1197" s="28"/>
      <c r="K1197" s="28"/>
      <c r="L1197" s="28"/>
      <c r="M1197" s="28"/>
      <c r="N1197" s="151"/>
      <c r="O1197" s="16"/>
      <c r="P1197" s="13"/>
      <c r="Q1197" s="13"/>
      <c r="R1197" s="13"/>
      <c r="S1197" s="13"/>
      <c r="T1197" s="13"/>
      <c r="U1197" s="13"/>
      <c r="V1197" s="13"/>
      <c r="W1197" s="13"/>
      <c r="X1197" s="13"/>
      <c r="Y1197" s="13"/>
      <c r="Z1197" s="13"/>
    </row>
    <row r="1198" spans="1:26" s="9" customFormat="1" ht="15.75">
      <c r="A1198" s="66" t="s">
        <v>618</v>
      </c>
      <c r="B1198" s="18"/>
      <c r="C1198" s="18"/>
      <c r="D1198" s="18"/>
      <c r="E1198" s="18"/>
      <c r="F1198" s="18"/>
      <c r="G1198" s="18"/>
      <c r="H1198" s="18"/>
      <c r="I1198" s="18"/>
      <c r="J1198" s="18"/>
      <c r="K1198" s="18"/>
      <c r="L1198" s="18"/>
      <c r="M1198" s="18"/>
      <c r="N1198" s="149"/>
      <c r="O1198" s="19"/>
      <c r="P1198" s="8"/>
      <c r="Q1198" s="8"/>
      <c r="R1198" s="8"/>
      <c r="S1198" s="8"/>
      <c r="T1198" s="8"/>
      <c r="U1198" s="8"/>
      <c r="V1198" s="8"/>
      <c r="W1198" s="8"/>
      <c r="X1198" s="8"/>
      <c r="Y1198" s="8"/>
      <c r="Z1198" s="8"/>
    </row>
    <row r="1199" spans="1:26" s="9" customFormat="1" ht="15.75">
      <c r="A1199" s="37" t="s">
        <v>167</v>
      </c>
      <c r="B1199" s="21">
        <v>0</v>
      </c>
      <c r="C1199" s="21">
        <v>0</v>
      </c>
      <c r="D1199" s="21">
        <v>0</v>
      </c>
      <c r="E1199" s="21">
        <v>0</v>
      </c>
      <c r="F1199" s="21">
        <v>0</v>
      </c>
      <c r="G1199" s="21">
        <v>0</v>
      </c>
      <c r="H1199" s="21">
        <v>0</v>
      </c>
      <c r="I1199" s="21">
        <v>0</v>
      </c>
      <c r="J1199" s="87">
        <v>0</v>
      </c>
      <c r="K1199" s="21">
        <v>0</v>
      </c>
      <c r="L1199" s="21">
        <v>0</v>
      </c>
      <c r="M1199" s="21">
        <v>0</v>
      </c>
      <c r="N1199" s="150">
        <f>SUM(B1199:M1199)</f>
        <v>0</v>
      </c>
      <c r="O1199" s="22">
        <f>IF(N1199=0,0,AVERAGE(B1199:M1199))</f>
        <v>0</v>
      </c>
      <c r="P1199" s="8"/>
      <c r="Q1199" s="8"/>
      <c r="R1199" s="8"/>
      <c r="S1199" s="8"/>
      <c r="T1199" s="8"/>
      <c r="U1199" s="8"/>
      <c r="V1199" s="8"/>
      <c r="W1199" s="8"/>
      <c r="X1199" s="8"/>
      <c r="Y1199" s="8"/>
      <c r="Z1199" s="8"/>
    </row>
    <row r="1200" spans="1:26" s="9" customFormat="1" ht="15.75">
      <c r="A1200" s="37" t="s">
        <v>168</v>
      </c>
      <c r="B1200" s="21">
        <v>0</v>
      </c>
      <c r="C1200" s="21">
        <v>0</v>
      </c>
      <c r="D1200" s="21">
        <v>0</v>
      </c>
      <c r="E1200" s="21">
        <v>0</v>
      </c>
      <c r="F1200" s="21">
        <v>0</v>
      </c>
      <c r="G1200" s="21">
        <v>0</v>
      </c>
      <c r="H1200" s="21">
        <v>0</v>
      </c>
      <c r="I1200" s="21">
        <v>0</v>
      </c>
      <c r="J1200" s="87">
        <v>0</v>
      </c>
      <c r="K1200" s="21">
        <v>0</v>
      </c>
      <c r="L1200" s="21">
        <v>0</v>
      </c>
      <c r="M1200" s="21">
        <v>0</v>
      </c>
      <c r="N1200" s="150">
        <f>SUM(B1200:M1200)</f>
        <v>0</v>
      </c>
      <c r="O1200" s="22">
        <f>IF(N1200=0,0,AVERAGE(B1200:M1200))</f>
        <v>0</v>
      </c>
      <c r="P1200" s="8"/>
      <c r="Q1200" s="8"/>
      <c r="R1200" s="8"/>
      <c r="S1200" s="8"/>
      <c r="T1200" s="8"/>
      <c r="U1200" s="8"/>
      <c r="V1200" s="8"/>
      <c r="W1200" s="8"/>
      <c r="X1200" s="8"/>
      <c r="Y1200" s="8"/>
      <c r="Z1200" s="8"/>
    </row>
    <row r="1201" spans="1:26" s="9" customFormat="1" ht="15.75">
      <c r="A1201" s="113" t="s">
        <v>311</v>
      </c>
      <c r="B1201" s="21">
        <v>3</v>
      </c>
      <c r="C1201" s="21">
        <v>3</v>
      </c>
      <c r="D1201" s="21">
        <v>1</v>
      </c>
      <c r="E1201" s="21">
        <v>0</v>
      </c>
      <c r="F1201" s="21">
        <v>0</v>
      </c>
      <c r="G1201" s="21">
        <v>2</v>
      </c>
      <c r="H1201" s="21">
        <v>1</v>
      </c>
      <c r="I1201" s="21">
        <v>0</v>
      </c>
      <c r="J1201" s="21">
        <v>1</v>
      </c>
      <c r="K1201" s="21">
        <v>1</v>
      </c>
      <c r="L1201" s="21">
        <v>0</v>
      </c>
      <c r="M1201" s="21">
        <v>0</v>
      </c>
      <c r="N1201" s="150">
        <f>SUM(B1201:M1201)</f>
        <v>12</v>
      </c>
      <c r="O1201" s="22">
        <f>IF(N1201=0,0,AVERAGE(B1201:M1201))</f>
        <v>1</v>
      </c>
      <c r="P1201" s="13"/>
      <c r="Q1201" s="13"/>
      <c r="R1201" s="13"/>
      <c r="S1201" s="13"/>
      <c r="T1201" s="13"/>
      <c r="U1201" s="13"/>
      <c r="V1201" s="13"/>
      <c r="W1201" s="13"/>
      <c r="X1201" s="13"/>
      <c r="Y1201" s="13"/>
      <c r="Z1201" s="13"/>
    </row>
    <row r="1202" spans="1:26" s="9" customFormat="1" ht="15.75">
      <c r="A1202" s="113" t="s">
        <v>312</v>
      </c>
      <c r="B1202" s="21">
        <v>1</v>
      </c>
      <c r="C1202" s="21">
        <v>1</v>
      </c>
      <c r="D1202" s="21">
        <v>1</v>
      </c>
      <c r="E1202" s="21">
        <v>0</v>
      </c>
      <c r="F1202" s="21">
        <v>0</v>
      </c>
      <c r="G1202" s="21">
        <v>1</v>
      </c>
      <c r="H1202" s="21">
        <v>1</v>
      </c>
      <c r="I1202" s="21">
        <v>0</v>
      </c>
      <c r="J1202" s="21">
        <v>1</v>
      </c>
      <c r="K1202" s="21">
        <v>1</v>
      </c>
      <c r="L1202" s="21">
        <v>0</v>
      </c>
      <c r="M1202" s="21">
        <v>0</v>
      </c>
      <c r="N1202" s="150">
        <f>SUM(B1202:M1202)</f>
        <v>7</v>
      </c>
      <c r="O1202" s="22">
        <f>IF(N1202=0,0,AVERAGE(B1202:M1202))</f>
        <v>0.58333333333333337</v>
      </c>
      <c r="P1202" s="13"/>
      <c r="Q1202" s="13"/>
      <c r="R1202" s="13"/>
      <c r="S1202" s="13"/>
      <c r="T1202" s="13"/>
      <c r="U1202" s="13"/>
      <c r="V1202" s="13"/>
      <c r="W1202" s="13"/>
      <c r="X1202" s="13"/>
      <c r="Y1202" s="13"/>
      <c r="Z1202" s="13"/>
    </row>
    <row r="1203" spans="1:26" s="9" customFormat="1" ht="15.75">
      <c r="A1203" s="62" t="s">
        <v>21</v>
      </c>
      <c r="B1203" s="24">
        <f t="shared" ref="B1203:C1203" si="1674">SUM(B1199:B1202)</f>
        <v>4</v>
      </c>
      <c r="C1203" s="24">
        <f t="shared" si="1674"/>
        <v>4</v>
      </c>
      <c r="D1203" s="24">
        <f t="shared" ref="D1203:E1203" si="1675">SUM(D1199:D1202)</f>
        <v>2</v>
      </c>
      <c r="E1203" s="24">
        <f t="shared" si="1675"/>
        <v>0</v>
      </c>
      <c r="F1203" s="24">
        <f t="shared" ref="F1203" si="1676">SUM(F1199:F1202)</f>
        <v>0</v>
      </c>
      <c r="G1203" s="24">
        <f t="shared" ref="G1203:H1203" si="1677">SUM(G1199:G1202)</f>
        <v>3</v>
      </c>
      <c r="H1203" s="24">
        <f t="shared" si="1677"/>
        <v>2</v>
      </c>
      <c r="I1203" s="24">
        <f t="shared" ref="I1203:K1203" si="1678">SUM(I1199:I1202)</f>
        <v>0</v>
      </c>
      <c r="J1203" s="24">
        <f t="shared" si="1678"/>
        <v>2</v>
      </c>
      <c r="K1203" s="24">
        <f t="shared" si="1678"/>
        <v>2</v>
      </c>
      <c r="L1203" s="24">
        <f t="shared" ref="L1203:M1203" si="1679">SUM(L1199:L1202)</f>
        <v>0</v>
      </c>
      <c r="M1203" s="24">
        <f t="shared" si="1679"/>
        <v>0</v>
      </c>
      <c r="N1203" s="144">
        <f>SUM(N1199:N1202)</f>
        <v>19</v>
      </c>
      <c r="O1203" s="25">
        <f>SUM(O1199:O1202)</f>
        <v>1.5833333333333335</v>
      </c>
      <c r="P1203" s="8"/>
      <c r="Q1203" s="8"/>
      <c r="R1203" s="8"/>
      <c r="S1203" s="8"/>
      <c r="T1203" s="8"/>
      <c r="U1203" s="8"/>
      <c r="V1203" s="8"/>
      <c r="W1203" s="8"/>
      <c r="X1203" s="8"/>
      <c r="Y1203" s="8"/>
      <c r="Z1203" s="8"/>
    </row>
    <row r="1204" spans="1:26" s="9" customFormat="1" ht="15.75">
      <c r="A1204" s="62" t="s">
        <v>112</v>
      </c>
      <c r="B1204" s="25">
        <f>IF(B1203=0,"",B1203/B$1870)</f>
        <v>0.12903225806451613</v>
      </c>
      <c r="C1204" s="25">
        <f>IF(C1203=0,"",C1203/C$1870)</f>
        <v>0.14285714285714285</v>
      </c>
      <c r="D1204" s="25">
        <f>IF(D1203=0,"",D1203/D$1870)</f>
        <v>6.4516129032258063E-2</v>
      </c>
      <c r="E1204" s="25" t="s">
        <v>44</v>
      </c>
      <c r="F1204" s="25" t="s">
        <v>44</v>
      </c>
      <c r="G1204" s="25">
        <f>IF(G1203=0,"",G1203/G$1870)</f>
        <v>0.1</v>
      </c>
      <c r="H1204" s="25">
        <f>IF(H1203=0,"",H1203/H$1870)</f>
        <v>6.4516129032258063E-2</v>
      </c>
      <c r="I1204" s="25" t="s">
        <v>44</v>
      </c>
      <c r="J1204" s="25">
        <f>IF(J1203=0,"",J1203/J$1870)</f>
        <v>6.6666666666666666E-2</v>
      </c>
      <c r="K1204" s="25">
        <f>IF(K1203=0,"",K1203/K$1870)</f>
        <v>6.4516129032258063E-2</v>
      </c>
      <c r="L1204" s="25" t="s">
        <v>44</v>
      </c>
      <c r="M1204" s="25" t="s">
        <v>44</v>
      </c>
      <c r="N1204" s="144">
        <f>SUM(B1204:M1204)</f>
        <v>0.63210445468509979</v>
      </c>
      <c r="O1204" s="25">
        <f>IF(N1204=0,0,AVERAGE(B1204:M1204))</f>
        <v>9.0300636383585681E-2</v>
      </c>
      <c r="P1204" s="8"/>
      <c r="Q1204" s="8"/>
      <c r="R1204" s="8"/>
      <c r="S1204" s="8"/>
      <c r="T1204" s="8"/>
      <c r="U1204" s="8"/>
      <c r="V1204" s="8"/>
      <c r="W1204" s="8"/>
      <c r="X1204" s="8"/>
      <c r="Y1204" s="8"/>
      <c r="Z1204" s="8"/>
    </row>
    <row r="1205" spans="1:26" s="9" customFormat="1" ht="15.75">
      <c r="A1205" s="62" t="s">
        <v>169</v>
      </c>
      <c r="B1205" s="193">
        <f t="shared" ref="B1205:C1205" si="1680">IF(B1203=0,"",B1203/B1195)</f>
        <v>9.0909090909090905E-3</v>
      </c>
      <c r="C1205" s="193">
        <f t="shared" si="1680"/>
        <v>9.852216748768473E-3</v>
      </c>
      <c r="D1205" s="193">
        <f t="shared" ref="D1205" si="1681">IF(D1203=0,"",D1203/D1195)</f>
        <v>3.8610038610038611E-3</v>
      </c>
      <c r="E1205" s="193" t="s">
        <v>44</v>
      </c>
      <c r="F1205" s="193" t="s">
        <v>44</v>
      </c>
      <c r="G1205" s="193">
        <f t="shared" ref="G1205:H1205" si="1682">IF(G1203=0,"",G1203/G1195)</f>
        <v>7.4441687344913151E-3</v>
      </c>
      <c r="H1205" s="193">
        <f t="shared" si="1682"/>
        <v>3.6363636363636364E-3</v>
      </c>
      <c r="I1205" s="193" t="s">
        <v>44</v>
      </c>
      <c r="J1205" s="193">
        <f t="shared" ref="J1205:K1205" si="1683">IF(J1203=0,"",J1203/J1195)</f>
        <v>3.2310177705977385E-3</v>
      </c>
      <c r="K1205" s="193">
        <f t="shared" si="1683"/>
        <v>3.7243947858472998E-3</v>
      </c>
      <c r="L1205" s="193" t="s">
        <v>44</v>
      </c>
      <c r="M1205" s="193" t="s">
        <v>44</v>
      </c>
      <c r="N1205" s="144">
        <f>SUM(B1205:M1205)</f>
        <v>4.0840074627981421E-2</v>
      </c>
      <c r="O1205" s="25">
        <f>IF(N1205=0,0,AVERAGE(B1205:M1205))</f>
        <v>5.834296375425917E-3</v>
      </c>
      <c r="P1205" s="13"/>
      <c r="Q1205" s="13"/>
      <c r="R1205" s="13"/>
      <c r="S1205" s="13"/>
      <c r="T1205" s="13"/>
      <c r="U1205" s="13"/>
      <c r="V1205" s="13"/>
      <c r="W1205" s="13"/>
      <c r="X1205" s="13"/>
      <c r="Y1205" s="13"/>
      <c r="Z1205" s="13"/>
    </row>
    <row r="1206" spans="1:26" s="9" customFormat="1" ht="15.75">
      <c r="A1206" s="56"/>
      <c r="B1206" s="54"/>
      <c r="C1206" s="54"/>
      <c r="D1206" s="54"/>
      <c r="E1206" s="54"/>
      <c r="F1206" s="54"/>
      <c r="G1206" s="54"/>
      <c r="H1206" s="55"/>
      <c r="I1206" s="55"/>
      <c r="J1206" s="55"/>
      <c r="K1206" s="55"/>
      <c r="L1206" s="55"/>
      <c r="M1206" s="55"/>
      <c r="N1206" s="158"/>
      <c r="O1206" s="57"/>
      <c r="P1206" s="13"/>
      <c r="Q1206" s="13"/>
      <c r="R1206" s="13"/>
      <c r="S1206" s="13"/>
      <c r="T1206" s="13"/>
      <c r="U1206" s="13"/>
      <c r="V1206" s="13"/>
      <c r="W1206" s="13"/>
      <c r="X1206" s="13"/>
      <c r="Y1206" s="13"/>
      <c r="Z1206" s="13"/>
    </row>
    <row r="1207" spans="1:26" s="9" customFormat="1" ht="15.75">
      <c r="A1207" s="91" t="s">
        <v>153</v>
      </c>
      <c r="B1207" s="92">
        <f t="shared" ref="B1207:G1207" si="1684">B1153</f>
        <v>301</v>
      </c>
      <c r="C1207" s="92">
        <f t="shared" si="1684"/>
        <v>292</v>
      </c>
      <c r="D1207" s="92">
        <f t="shared" si="1684"/>
        <v>281</v>
      </c>
      <c r="E1207" s="92">
        <f t="shared" si="1684"/>
        <v>218</v>
      </c>
      <c r="F1207" s="92">
        <f t="shared" si="1684"/>
        <v>208</v>
      </c>
      <c r="G1207" s="92">
        <f t="shared" si="1684"/>
        <v>209</v>
      </c>
      <c r="H1207" s="92">
        <f t="shared" ref="H1207:I1207" si="1685">H1153</f>
        <v>297</v>
      </c>
      <c r="I1207" s="92">
        <f t="shared" si="1685"/>
        <v>392</v>
      </c>
      <c r="J1207" s="92">
        <f t="shared" ref="J1207:K1207" si="1686">J1153</f>
        <v>386</v>
      </c>
      <c r="K1207" s="92">
        <f t="shared" si="1686"/>
        <v>321</v>
      </c>
      <c r="L1207" s="92">
        <f t="shared" ref="L1207:M1207" si="1687">L1153</f>
        <v>333</v>
      </c>
      <c r="M1207" s="92">
        <f t="shared" si="1687"/>
        <v>306</v>
      </c>
      <c r="N1207" s="150">
        <f>N1153</f>
        <v>3544</v>
      </c>
      <c r="O1207" s="22">
        <f>O1153</f>
        <v>295.33333333333337</v>
      </c>
      <c r="P1207" s="13"/>
      <c r="Q1207" s="13"/>
      <c r="R1207" s="13"/>
      <c r="S1207" s="13"/>
      <c r="T1207" s="13"/>
      <c r="U1207" s="13"/>
      <c r="V1207" s="13"/>
      <c r="W1207" s="13"/>
      <c r="X1207" s="13"/>
      <c r="Y1207" s="13"/>
      <c r="Z1207" s="13"/>
    </row>
    <row r="1208" spans="1:26" s="9" customFormat="1" ht="15.75">
      <c r="A1208" s="91" t="s">
        <v>154</v>
      </c>
      <c r="B1208" s="92">
        <f t="shared" ref="B1208:C1208" si="1688">B1181</f>
        <v>135</v>
      </c>
      <c r="C1208" s="92">
        <f t="shared" si="1688"/>
        <v>109</v>
      </c>
      <c r="D1208" s="92">
        <f t="shared" ref="D1208:E1208" si="1689">D1181</f>
        <v>235</v>
      </c>
      <c r="E1208" s="92">
        <f t="shared" si="1689"/>
        <v>98</v>
      </c>
      <c r="F1208" s="92">
        <f t="shared" ref="F1208" si="1690">F1181</f>
        <v>134</v>
      </c>
      <c r="G1208" s="92">
        <f t="shared" ref="G1208:H1208" si="1691">G1181</f>
        <v>194</v>
      </c>
      <c r="H1208" s="92">
        <f t="shared" si="1691"/>
        <v>251</v>
      </c>
      <c r="I1208" s="92">
        <f t="shared" ref="I1208:J1208" si="1692">I1181</f>
        <v>238</v>
      </c>
      <c r="J1208" s="92">
        <f t="shared" si="1692"/>
        <v>233</v>
      </c>
      <c r="K1208" s="92">
        <f t="shared" ref="K1208:L1208" si="1693">K1181</f>
        <v>216</v>
      </c>
      <c r="L1208" s="92">
        <f t="shared" si="1693"/>
        <v>259</v>
      </c>
      <c r="M1208" s="92">
        <f t="shared" ref="M1208" si="1694">M1181</f>
        <v>270</v>
      </c>
      <c r="N1208" s="150">
        <f>N1181</f>
        <v>2372</v>
      </c>
      <c r="O1208" s="22">
        <f>O1181</f>
        <v>197.66666666666669</v>
      </c>
      <c r="P1208" s="13"/>
      <c r="Q1208" s="13"/>
      <c r="R1208" s="13"/>
      <c r="S1208" s="13"/>
      <c r="T1208" s="13"/>
      <c r="U1208" s="13"/>
      <c r="V1208" s="13"/>
      <c r="W1208" s="13"/>
      <c r="X1208" s="13"/>
      <c r="Y1208" s="13"/>
      <c r="Z1208" s="13"/>
    </row>
    <row r="1209" spans="1:26" s="9" customFormat="1" ht="15.75">
      <c r="A1209" s="381" t="s">
        <v>155</v>
      </c>
      <c r="B1209" s="372">
        <f t="shared" ref="B1209:C1209" si="1695">SUM(B1207:B1208)</f>
        <v>436</v>
      </c>
      <c r="C1209" s="372">
        <f t="shared" si="1695"/>
        <v>401</v>
      </c>
      <c r="D1209" s="372">
        <f t="shared" ref="D1209:E1209" si="1696">SUM(D1207:D1208)</f>
        <v>516</v>
      </c>
      <c r="E1209" s="372">
        <f t="shared" si="1696"/>
        <v>316</v>
      </c>
      <c r="F1209" s="372">
        <f t="shared" ref="F1209" si="1697">SUM(F1207:F1208)</f>
        <v>342</v>
      </c>
      <c r="G1209" s="372">
        <f t="shared" ref="G1209:H1209" si="1698">SUM(G1207:G1208)</f>
        <v>403</v>
      </c>
      <c r="H1209" s="372">
        <f t="shared" si="1698"/>
        <v>548</v>
      </c>
      <c r="I1209" s="372">
        <f t="shared" ref="I1209:J1209" si="1699">SUM(I1207:I1208)</f>
        <v>630</v>
      </c>
      <c r="J1209" s="372">
        <f t="shared" si="1699"/>
        <v>619</v>
      </c>
      <c r="K1209" s="372">
        <f t="shared" ref="K1209:L1209" si="1700">SUM(K1207:K1208)</f>
        <v>537</v>
      </c>
      <c r="L1209" s="372">
        <f t="shared" si="1700"/>
        <v>592</v>
      </c>
      <c r="M1209" s="372">
        <f t="shared" ref="M1209" si="1701">SUM(M1207:M1208)</f>
        <v>576</v>
      </c>
      <c r="N1209" s="373">
        <f>SUM(N1207:N1208)</f>
        <v>5916</v>
      </c>
      <c r="O1209" s="374">
        <f>SUM(O1207:O1208)</f>
        <v>493.00000000000006</v>
      </c>
      <c r="P1209" s="8"/>
      <c r="Q1209" s="8"/>
      <c r="R1209" s="8"/>
      <c r="S1209" s="8"/>
      <c r="T1209" s="8"/>
      <c r="U1209" s="8"/>
      <c r="V1209" s="8"/>
      <c r="W1209" s="8"/>
      <c r="X1209" s="8"/>
      <c r="Y1209" s="8"/>
      <c r="Z1209" s="8"/>
    </row>
    <row r="1210" spans="1:26" s="9" customFormat="1" ht="15.75">
      <c r="A1210" s="88"/>
      <c r="B1210" s="89"/>
      <c r="C1210" s="89"/>
      <c r="D1210" s="89"/>
      <c r="E1210" s="89"/>
      <c r="F1210" s="89"/>
      <c r="G1210" s="89"/>
      <c r="H1210" s="89"/>
      <c r="I1210" s="89"/>
      <c r="J1210" s="89"/>
      <c r="K1210" s="89"/>
      <c r="L1210" s="89"/>
      <c r="M1210" s="89"/>
      <c r="N1210" s="167"/>
      <c r="O1210" s="90"/>
      <c r="P1210" s="8"/>
      <c r="Q1210" s="8"/>
      <c r="R1210" s="8"/>
      <c r="S1210" s="8"/>
      <c r="T1210" s="8"/>
      <c r="U1210" s="8"/>
      <c r="V1210" s="8"/>
      <c r="W1210" s="8"/>
      <c r="X1210" s="8"/>
      <c r="Y1210" s="8"/>
      <c r="Z1210" s="8"/>
    </row>
    <row r="1211" spans="1:26" s="9" customFormat="1" ht="15.75">
      <c r="A1211" s="404" t="s">
        <v>619</v>
      </c>
      <c r="B1211" s="392"/>
      <c r="C1211" s="392"/>
      <c r="D1211" s="392"/>
      <c r="E1211" s="392"/>
      <c r="F1211" s="392"/>
      <c r="G1211" s="392"/>
      <c r="H1211" s="392"/>
      <c r="I1211" s="392"/>
      <c r="J1211" s="392"/>
      <c r="K1211" s="392"/>
      <c r="L1211" s="392"/>
      <c r="M1211" s="392"/>
      <c r="N1211" s="393"/>
      <c r="O1211" s="394"/>
      <c r="P1211" s="8"/>
      <c r="Q1211" s="8"/>
      <c r="R1211" s="8"/>
      <c r="S1211" s="8"/>
      <c r="T1211" s="8"/>
      <c r="U1211" s="8"/>
      <c r="V1211" s="8"/>
      <c r="W1211" s="8"/>
      <c r="X1211" s="8"/>
      <c r="Y1211" s="8"/>
      <c r="Z1211" s="8"/>
    </row>
    <row r="1212" spans="1:26" s="9" customFormat="1" ht="15.75">
      <c r="A1212" s="405" t="s">
        <v>792</v>
      </c>
      <c r="B1212" s="406"/>
      <c r="C1212" s="406"/>
      <c r="D1212" s="406"/>
      <c r="E1212" s="406"/>
      <c r="F1212" s="406"/>
      <c r="G1212" s="406"/>
      <c r="H1212" s="406"/>
      <c r="I1212" s="406"/>
      <c r="J1212" s="406"/>
      <c r="K1212" s="406"/>
      <c r="L1212" s="406"/>
      <c r="M1212" s="406"/>
      <c r="N1212" s="407"/>
      <c r="O1212" s="408"/>
      <c r="P1212" s="8"/>
      <c r="Q1212" s="8"/>
      <c r="R1212" s="8"/>
      <c r="S1212" s="8"/>
      <c r="T1212" s="8"/>
      <c r="U1212" s="8"/>
      <c r="V1212" s="8"/>
      <c r="W1212" s="8"/>
      <c r="X1212" s="8"/>
      <c r="Y1212" s="8"/>
      <c r="Z1212" s="8"/>
    </row>
    <row r="1213" spans="1:26" s="9" customFormat="1" ht="15.75">
      <c r="A1213" s="360" t="s">
        <v>675</v>
      </c>
      <c r="B1213" s="361">
        <f t="shared" ref="B1213:C1223" si="1702">B1228+B1250</f>
        <v>2</v>
      </c>
      <c r="C1213" s="361">
        <f t="shared" si="1702"/>
        <v>2</v>
      </c>
      <c r="D1213" s="361">
        <f t="shared" ref="D1213:E1213" si="1703">D1228+D1250</f>
        <v>1</v>
      </c>
      <c r="E1213" s="361">
        <f t="shared" si="1703"/>
        <v>0</v>
      </c>
      <c r="F1213" s="361">
        <f t="shared" ref="F1213:G1213" si="1704">F1228+F1250</f>
        <v>1</v>
      </c>
      <c r="G1213" s="361">
        <f t="shared" si="1704"/>
        <v>6</v>
      </c>
      <c r="H1213" s="361">
        <f t="shared" ref="H1213:I1213" si="1705">H1228+H1250</f>
        <v>7</v>
      </c>
      <c r="I1213" s="361">
        <f t="shared" si="1705"/>
        <v>1</v>
      </c>
      <c r="J1213" s="361">
        <f t="shared" ref="J1213:K1213" si="1706">J1228+J1250</f>
        <v>2</v>
      </c>
      <c r="K1213" s="361">
        <f t="shared" si="1706"/>
        <v>2</v>
      </c>
      <c r="L1213" s="361">
        <f t="shared" ref="L1213:M1213" si="1707">L1228+L1250</f>
        <v>3</v>
      </c>
      <c r="M1213" s="361">
        <f t="shared" si="1707"/>
        <v>3</v>
      </c>
      <c r="N1213" s="150">
        <f>SUM(B1213:M1213)</f>
        <v>30</v>
      </c>
      <c r="O1213" s="22">
        <f>IF(N1213=0,0,AVERAGE(B1213:M1213))</f>
        <v>2.5</v>
      </c>
      <c r="P1213" s="8"/>
      <c r="Q1213" s="8"/>
      <c r="R1213" s="8"/>
      <c r="S1213" s="8"/>
      <c r="T1213" s="8"/>
      <c r="U1213" s="8"/>
      <c r="V1213" s="8"/>
      <c r="W1213" s="8"/>
      <c r="X1213" s="8"/>
      <c r="Y1213" s="8"/>
      <c r="Z1213" s="8"/>
    </row>
    <row r="1214" spans="1:26" s="9" customFormat="1" ht="15.75">
      <c r="A1214" s="360" t="s">
        <v>677</v>
      </c>
      <c r="B1214" s="361">
        <f t="shared" si="1702"/>
        <v>9</v>
      </c>
      <c r="C1214" s="361">
        <f t="shared" si="1702"/>
        <v>6</v>
      </c>
      <c r="D1214" s="361">
        <f t="shared" ref="D1214:E1214" si="1708">D1229+D1251</f>
        <v>3</v>
      </c>
      <c r="E1214" s="361">
        <f t="shared" si="1708"/>
        <v>1</v>
      </c>
      <c r="F1214" s="361">
        <f t="shared" ref="F1214:G1214" si="1709">F1229+F1251</f>
        <v>5</v>
      </c>
      <c r="G1214" s="361">
        <f t="shared" si="1709"/>
        <v>3</v>
      </c>
      <c r="H1214" s="361">
        <f t="shared" ref="H1214:I1214" si="1710">H1229+H1251</f>
        <v>14</v>
      </c>
      <c r="I1214" s="361">
        <f t="shared" si="1710"/>
        <v>12</v>
      </c>
      <c r="J1214" s="361">
        <f t="shared" ref="J1214:K1214" si="1711">J1229+J1251</f>
        <v>5</v>
      </c>
      <c r="K1214" s="361">
        <f t="shared" si="1711"/>
        <v>8</v>
      </c>
      <c r="L1214" s="361">
        <f t="shared" ref="L1214:M1214" si="1712">L1229+L1251</f>
        <v>4</v>
      </c>
      <c r="M1214" s="361">
        <f t="shared" si="1712"/>
        <v>3</v>
      </c>
      <c r="N1214" s="150">
        <f t="shared" ref="N1214:N1222" si="1713">SUM(B1214:M1214)</f>
        <v>73</v>
      </c>
      <c r="O1214" s="22">
        <f t="shared" ref="O1214:O1222" si="1714">IF(N1214=0,0,AVERAGE(B1214:M1214))</f>
        <v>6.083333333333333</v>
      </c>
      <c r="P1214" s="8"/>
      <c r="Q1214" s="8"/>
      <c r="R1214" s="8"/>
      <c r="S1214" s="8"/>
      <c r="T1214" s="8"/>
      <c r="U1214" s="8"/>
      <c r="V1214" s="8"/>
      <c r="W1214" s="8"/>
      <c r="X1214" s="8"/>
      <c r="Y1214" s="8"/>
      <c r="Z1214" s="8"/>
    </row>
    <row r="1215" spans="1:26" s="9" customFormat="1" ht="15.75">
      <c r="A1215" s="360" t="s">
        <v>676</v>
      </c>
      <c r="B1215" s="361">
        <f t="shared" si="1702"/>
        <v>0</v>
      </c>
      <c r="C1215" s="361">
        <f t="shared" si="1702"/>
        <v>2</v>
      </c>
      <c r="D1215" s="361">
        <f t="shared" ref="D1215:E1215" si="1715">D1230+D1252</f>
        <v>2</v>
      </c>
      <c r="E1215" s="361">
        <f t="shared" si="1715"/>
        <v>0</v>
      </c>
      <c r="F1215" s="361">
        <f t="shared" ref="F1215:G1215" si="1716">F1230+F1252</f>
        <v>2</v>
      </c>
      <c r="G1215" s="361">
        <f t="shared" si="1716"/>
        <v>0</v>
      </c>
      <c r="H1215" s="361">
        <f t="shared" ref="H1215:I1215" si="1717">H1230+H1252</f>
        <v>3</v>
      </c>
      <c r="I1215" s="361">
        <f t="shared" si="1717"/>
        <v>3</v>
      </c>
      <c r="J1215" s="361">
        <f t="shared" ref="J1215:K1215" si="1718">J1230+J1252</f>
        <v>2</v>
      </c>
      <c r="K1215" s="361">
        <f t="shared" si="1718"/>
        <v>2</v>
      </c>
      <c r="L1215" s="361">
        <f t="shared" ref="L1215:M1215" si="1719">L1230+L1252</f>
        <v>3</v>
      </c>
      <c r="M1215" s="361">
        <f t="shared" si="1719"/>
        <v>2</v>
      </c>
      <c r="N1215" s="150">
        <f t="shared" si="1713"/>
        <v>21</v>
      </c>
      <c r="O1215" s="22">
        <f t="shared" si="1714"/>
        <v>1.75</v>
      </c>
      <c r="P1215" s="8"/>
      <c r="Q1215" s="8"/>
      <c r="R1215" s="8"/>
      <c r="S1215" s="8"/>
      <c r="T1215" s="8"/>
      <c r="U1215" s="8"/>
      <c r="V1215" s="8"/>
      <c r="W1215" s="8"/>
      <c r="X1215" s="8"/>
      <c r="Y1215" s="8"/>
      <c r="Z1215" s="8"/>
    </row>
    <row r="1216" spans="1:26" s="9" customFormat="1" ht="15.75">
      <c r="A1216" s="360" t="s">
        <v>678</v>
      </c>
      <c r="B1216" s="361">
        <f t="shared" si="1702"/>
        <v>3</v>
      </c>
      <c r="C1216" s="361">
        <f t="shared" si="1702"/>
        <v>1</v>
      </c>
      <c r="D1216" s="361">
        <f t="shared" ref="D1216:E1216" si="1720">D1231+D1253</f>
        <v>3</v>
      </c>
      <c r="E1216" s="361">
        <f t="shared" si="1720"/>
        <v>0</v>
      </c>
      <c r="F1216" s="361">
        <f t="shared" ref="F1216:G1216" si="1721">F1231+F1253</f>
        <v>1</v>
      </c>
      <c r="G1216" s="361">
        <f t="shared" si="1721"/>
        <v>1</v>
      </c>
      <c r="H1216" s="361">
        <f t="shared" ref="H1216:I1216" si="1722">H1231+H1253</f>
        <v>4</v>
      </c>
      <c r="I1216" s="361">
        <f t="shared" si="1722"/>
        <v>4</v>
      </c>
      <c r="J1216" s="361">
        <f t="shared" ref="J1216:K1216" si="1723">J1231+J1253</f>
        <v>2</v>
      </c>
      <c r="K1216" s="361">
        <f t="shared" si="1723"/>
        <v>1</v>
      </c>
      <c r="L1216" s="361">
        <f t="shared" ref="L1216:M1216" si="1724">L1231+L1253</f>
        <v>2</v>
      </c>
      <c r="M1216" s="361">
        <f t="shared" si="1724"/>
        <v>1</v>
      </c>
      <c r="N1216" s="150">
        <f t="shared" si="1713"/>
        <v>23</v>
      </c>
      <c r="O1216" s="22">
        <f t="shared" si="1714"/>
        <v>1.9166666666666667</v>
      </c>
      <c r="P1216" s="8"/>
      <c r="Q1216" s="8"/>
      <c r="R1216" s="8"/>
      <c r="S1216" s="8"/>
      <c r="T1216" s="8"/>
      <c r="U1216" s="8"/>
      <c r="V1216" s="8"/>
      <c r="W1216" s="8"/>
      <c r="X1216" s="8"/>
      <c r="Y1216" s="8"/>
      <c r="Z1216" s="8"/>
    </row>
    <row r="1217" spans="1:26" s="9" customFormat="1" ht="15.75">
      <c r="A1217" s="360" t="s">
        <v>411</v>
      </c>
      <c r="B1217" s="361">
        <f t="shared" si="1702"/>
        <v>1</v>
      </c>
      <c r="C1217" s="361">
        <f t="shared" si="1702"/>
        <v>1</v>
      </c>
      <c r="D1217" s="361">
        <f t="shared" ref="D1217:E1217" si="1725">D1232+D1254</f>
        <v>2</v>
      </c>
      <c r="E1217" s="361">
        <f t="shared" si="1725"/>
        <v>0</v>
      </c>
      <c r="F1217" s="361">
        <f t="shared" ref="F1217:G1217" si="1726">F1232+F1254</f>
        <v>1</v>
      </c>
      <c r="G1217" s="361">
        <f t="shared" si="1726"/>
        <v>0</v>
      </c>
      <c r="H1217" s="361">
        <f t="shared" ref="H1217:I1217" si="1727">H1232+H1254</f>
        <v>2</v>
      </c>
      <c r="I1217" s="361">
        <f t="shared" si="1727"/>
        <v>2</v>
      </c>
      <c r="J1217" s="361">
        <f t="shared" ref="J1217:K1217" si="1728">J1232+J1254</f>
        <v>0</v>
      </c>
      <c r="K1217" s="361">
        <f t="shared" si="1728"/>
        <v>0</v>
      </c>
      <c r="L1217" s="361">
        <f t="shared" ref="L1217:M1217" si="1729">L1232+L1254</f>
        <v>1</v>
      </c>
      <c r="M1217" s="361">
        <f t="shared" si="1729"/>
        <v>0</v>
      </c>
      <c r="N1217" s="150">
        <f t="shared" si="1713"/>
        <v>10</v>
      </c>
      <c r="O1217" s="22">
        <f t="shared" si="1714"/>
        <v>0.83333333333333337</v>
      </c>
      <c r="P1217" s="8"/>
      <c r="Q1217" s="8"/>
      <c r="R1217" s="8"/>
      <c r="S1217" s="8"/>
      <c r="T1217" s="8"/>
      <c r="U1217" s="8"/>
      <c r="V1217" s="8"/>
      <c r="W1217" s="8"/>
      <c r="X1217" s="8"/>
      <c r="Y1217" s="8"/>
      <c r="Z1217" s="8"/>
    </row>
    <row r="1218" spans="1:26" s="9" customFormat="1" ht="15.75">
      <c r="A1218" s="360" t="s">
        <v>159</v>
      </c>
      <c r="B1218" s="361">
        <f t="shared" si="1702"/>
        <v>6</v>
      </c>
      <c r="C1218" s="361">
        <f t="shared" si="1702"/>
        <v>4</v>
      </c>
      <c r="D1218" s="361">
        <f t="shared" ref="D1218:E1218" si="1730">D1233+D1255</f>
        <v>3</v>
      </c>
      <c r="E1218" s="361">
        <f t="shared" si="1730"/>
        <v>5</v>
      </c>
      <c r="F1218" s="361">
        <f t="shared" ref="F1218:G1218" si="1731">F1233+F1255</f>
        <v>4</v>
      </c>
      <c r="G1218" s="361">
        <f t="shared" si="1731"/>
        <v>4</v>
      </c>
      <c r="H1218" s="361">
        <f t="shared" ref="H1218:I1218" si="1732">H1233+H1255</f>
        <v>5</v>
      </c>
      <c r="I1218" s="361">
        <f t="shared" si="1732"/>
        <v>8</v>
      </c>
      <c r="J1218" s="361">
        <f t="shared" ref="J1218:K1218" si="1733">J1233+J1255</f>
        <v>4</v>
      </c>
      <c r="K1218" s="361">
        <f t="shared" si="1733"/>
        <v>6</v>
      </c>
      <c r="L1218" s="361">
        <f t="shared" ref="L1218:M1218" si="1734">L1233+L1255</f>
        <v>2</v>
      </c>
      <c r="M1218" s="361">
        <f t="shared" si="1734"/>
        <v>3</v>
      </c>
      <c r="N1218" s="150">
        <f t="shared" si="1713"/>
        <v>54</v>
      </c>
      <c r="O1218" s="22">
        <f t="shared" si="1714"/>
        <v>4.5</v>
      </c>
      <c r="P1218" s="8"/>
      <c r="Q1218" s="8"/>
      <c r="R1218" s="8"/>
      <c r="S1218" s="8"/>
      <c r="T1218" s="8"/>
      <c r="U1218" s="8"/>
      <c r="V1218" s="8"/>
      <c r="W1218" s="8"/>
      <c r="X1218" s="8"/>
      <c r="Y1218" s="8"/>
      <c r="Z1218" s="8"/>
    </row>
    <row r="1219" spans="1:26" s="9" customFormat="1" ht="15.75">
      <c r="A1219" s="360" t="s">
        <v>679</v>
      </c>
      <c r="B1219" s="361">
        <f t="shared" si="1702"/>
        <v>3</v>
      </c>
      <c r="C1219" s="361">
        <f t="shared" si="1702"/>
        <v>6</v>
      </c>
      <c r="D1219" s="361">
        <f t="shared" ref="D1219:E1219" si="1735">D1234+D1256</f>
        <v>5</v>
      </c>
      <c r="E1219" s="361">
        <f t="shared" si="1735"/>
        <v>3</v>
      </c>
      <c r="F1219" s="361">
        <f t="shared" ref="F1219:G1219" si="1736">F1234+F1256</f>
        <v>7</v>
      </c>
      <c r="G1219" s="361">
        <f t="shared" si="1736"/>
        <v>6</v>
      </c>
      <c r="H1219" s="361">
        <f t="shared" ref="H1219:I1219" si="1737">H1234+H1256</f>
        <v>3</v>
      </c>
      <c r="I1219" s="361">
        <f t="shared" si="1737"/>
        <v>8</v>
      </c>
      <c r="J1219" s="361">
        <f t="shared" ref="J1219:K1219" si="1738">J1234+J1256</f>
        <v>5</v>
      </c>
      <c r="K1219" s="361">
        <f t="shared" si="1738"/>
        <v>5</v>
      </c>
      <c r="L1219" s="361">
        <f t="shared" ref="L1219:M1219" si="1739">L1234+L1256</f>
        <v>9</v>
      </c>
      <c r="M1219" s="361">
        <f t="shared" si="1739"/>
        <v>2</v>
      </c>
      <c r="N1219" s="150">
        <f t="shared" si="1713"/>
        <v>62</v>
      </c>
      <c r="O1219" s="22">
        <f t="shared" si="1714"/>
        <v>5.166666666666667</v>
      </c>
      <c r="P1219" s="8"/>
      <c r="Q1219" s="8"/>
      <c r="R1219" s="8"/>
      <c r="S1219" s="8"/>
      <c r="T1219" s="8"/>
      <c r="U1219" s="8"/>
      <c r="V1219" s="8"/>
      <c r="W1219" s="8"/>
      <c r="X1219" s="8"/>
      <c r="Y1219" s="8"/>
      <c r="Z1219" s="8"/>
    </row>
    <row r="1220" spans="1:26" s="9" customFormat="1" ht="15.75">
      <c r="A1220" s="360" t="s">
        <v>680</v>
      </c>
      <c r="B1220" s="361">
        <f t="shared" si="1702"/>
        <v>2</v>
      </c>
      <c r="C1220" s="361">
        <f t="shared" si="1702"/>
        <v>2</v>
      </c>
      <c r="D1220" s="361">
        <f t="shared" ref="D1220:E1220" si="1740">D1235+D1257</f>
        <v>4</v>
      </c>
      <c r="E1220" s="361">
        <f t="shared" si="1740"/>
        <v>7</v>
      </c>
      <c r="F1220" s="361">
        <f t="shared" ref="F1220:G1220" si="1741">F1235+F1257</f>
        <v>2</v>
      </c>
      <c r="G1220" s="361">
        <f t="shared" si="1741"/>
        <v>3</v>
      </c>
      <c r="H1220" s="361">
        <f t="shared" ref="H1220:I1220" si="1742">H1235+H1257</f>
        <v>1</v>
      </c>
      <c r="I1220" s="361">
        <f t="shared" si="1742"/>
        <v>2</v>
      </c>
      <c r="J1220" s="361">
        <f t="shared" ref="J1220:K1220" si="1743">J1235+J1257</f>
        <v>3</v>
      </c>
      <c r="K1220" s="361">
        <f t="shared" si="1743"/>
        <v>3</v>
      </c>
      <c r="L1220" s="361">
        <f t="shared" ref="L1220:M1220" si="1744">L1235+L1257</f>
        <v>3</v>
      </c>
      <c r="M1220" s="361">
        <f t="shared" si="1744"/>
        <v>2</v>
      </c>
      <c r="N1220" s="150">
        <f t="shared" si="1713"/>
        <v>34</v>
      </c>
      <c r="O1220" s="22">
        <f t="shared" si="1714"/>
        <v>2.8333333333333335</v>
      </c>
      <c r="P1220" s="8"/>
      <c r="Q1220" s="8"/>
      <c r="R1220" s="8"/>
      <c r="S1220" s="8"/>
      <c r="T1220" s="8"/>
      <c r="U1220" s="8"/>
      <c r="V1220" s="8"/>
      <c r="W1220" s="8"/>
      <c r="X1220" s="8"/>
      <c r="Y1220" s="8"/>
      <c r="Z1220" s="8"/>
    </row>
    <row r="1221" spans="1:26" s="9" customFormat="1" ht="15.75">
      <c r="A1221" s="360" t="s">
        <v>681</v>
      </c>
      <c r="B1221" s="361">
        <f t="shared" si="1702"/>
        <v>7</v>
      </c>
      <c r="C1221" s="361">
        <f t="shared" si="1702"/>
        <v>9</v>
      </c>
      <c r="D1221" s="361">
        <f t="shared" ref="D1221:E1221" si="1745">D1236+D1258</f>
        <v>6</v>
      </c>
      <c r="E1221" s="361">
        <f t="shared" si="1745"/>
        <v>2</v>
      </c>
      <c r="F1221" s="361">
        <f t="shared" ref="F1221:G1221" si="1746">F1236+F1258</f>
        <v>5</v>
      </c>
      <c r="G1221" s="361">
        <f t="shared" si="1746"/>
        <v>2</v>
      </c>
      <c r="H1221" s="361">
        <f t="shared" ref="H1221:I1221" si="1747">H1236+H1258</f>
        <v>3</v>
      </c>
      <c r="I1221" s="361">
        <f t="shared" si="1747"/>
        <v>5</v>
      </c>
      <c r="J1221" s="361">
        <f t="shared" ref="J1221:K1221" si="1748">J1236+J1258</f>
        <v>10</v>
      </c>
      <c r="K1221" s="361">
        <f t="shared" si="1748"/>
        <v>6</v>
      </c>
      <c r="L1221" s="361">
        <f t="shared" ref="L1221:M1221" si="1749">L1236+L1258</f>
        <v>7</v>
      </c>
      <c r="M1221" s="361">
        <f t="shared" si="1749"/>
        <v>0</v>
      </c>
      <c r="N1221" s="150">
        <f t="shared" si="1713"/>
        <v>62</v>
      </c>
      <c r="O1221" s="22">
        <f t="shared" si="1714"/>
        <v>5.166666666666667</v>
      </c>
      <c r="P1221" s="8"/>
      <c r="Q1221" s="8"/>
      <c r="R1221" s="8"/>
      <c r="S1221" s="8"/>
      <c r="T1221" s="8"/>
      <c r="U1221" s="8"/>
      <c r="V1221" s="8"/>
      <c r="W1221" s="8"/>
      <c r="X1221" s="8"/>
      <c r="Y1221" s="8"/>
      <c r="Z1221" s="8"/>
    </row>
    <row r="1222" spans="1:26" s="9" customFormat="1" ht="15.75">
      <c r="A1222" s="360" t="s">
        <v>682</v>
      </c>
      <c r="B1222" s="361">
        <f t="shared" si="1702"/>
        <v>12</v>
      </c>
      <c r="C1222" s="361">
        <f t="shared" si="1702"/>
        <v>8</v>
      </c>
      <c r="D1222" s="361">
        <f t="shared" ref="D1222:E1222" si="1750">D1237+D1259</f>
        <v>9</v>
      </c>
      <c r="E1222" s="361">
        <f t="shared" si="1750"/>
        <v>9</v>
      </c>
      <c r="F1222" s="361">
        <f t="shared" ref="F1222:G1222" si="1751">F1237+F1259</f>
        <v>7</v>
      </c>
      <c r="G1222" s="361">
        <f t="shared" si="1751"/>
        <v>16</v>
      </c>
      <c r="H1222" s="361">
        <f t="shared" ref="H1222:I1222" si="1752">H1237+H1259</f>
        <v>13</v>
      </c>
      <c r="I1222" s="361">
        <f t="shared" si="1752"/>
        <v>8</v>
      </c>
      <c r="J1222" s="361">
        <f t="shared" ref="J1222:K1222" si="1753">J1237+J1259</f>
        <v>9</v>
      </c>
      <c r="K1222" s="361">
        <f t="shared" si="1753"/>
        <v>7</v>
      </c>
      <c r="L1222" s="361">
        <f t="shared" ref="L1222:M1222" si="1754">L1237+L1259</f>
        <v>17</v>
      </c>
      <c r="M1222" s="361">
        <f t="shared" si="1754"/>
        <v>4</v>
      </c>
      <c r="N1222" s="150">
        <f t="shared" si="1713"/>
        <v>119</v>
      </c>
      <c r="O1222" s="22">
        <f t="shared" si="1714"/>
        <v>9.9166666666666661</v>
      </c>
      <c r="P1222" s="8"/>
      <c r="Q1222" s="8"/>
      <c r="R1222" s="8"/>
      <c r="S1222" s="8"/>
      <c r="T1222" s="8"/>
      <c r="U1222" s="8"/>
      <c r="V1222" s="8"/>
      <c r="W1222" s="8"/>
      <c r="X1222" s="8"/>
      <c r="Y1222" s="8"/>
      <c r="Z1222" s="8"/>
    </row>
    <row r="1223" spans="1:26" s="9" customFormat="1" ht="15.75">
      <c r="A1223" s="360" t="s">
        <v>22</v>
      </c>
      <c r="B1223" s="361">
        <f t="shared" si="1702"/>
        <v>0</v>
      </c>
      <c r="C1223" s="361">
        <f t="shared" si="1702"/>
        <v>1</v>
      </c>
      <c r="D1223" s="361">
        <f t="shared" ref="D1223:E1223" si="1755">D1238+D1260</f>
        <v>0</v>
      </c>
      <c r="E1223" s="361">
        <f t="shared" si="1755"/>
        <v>0</v>
      </c>
      <c r="F1223" s="361">
        <f t="shared" ref="F1223:G1223" si="1756">F1238+F1260</f>
        <v>0</v>
      </c>
      <c r="G1223" s="361">
        <f t="shared" si="1756"/>
        <v>0</v>
      </c>
      <c r="H1223" s="361">
        <f t="shared" ref="H1223:I1223" si="1757">H1238+H1260</f>
        <v>0</v>
      </c>
      <c r="I1223" s="361">
        <f t="shared" si="1757"/>
        <v>0</v>
      </c>
      <c r="J1223" s="361">
        <f t="shared" ref="J1223:K1223" si="1758">J1238+J1260</f>
        <v>0</v>
      </c>
      <c r="K1223" s="361">
        <f t="shared" si="1758"/>
        <v>2</v>
      </c>
      <c r="L1223" s="361">
        <f t="shared" ref="L1223:M1223" si="1759">L1238+L1260</f>
        <v>0</v>
      </c>
      <c r="M1223" s="361">
        <f t="shared" si="1759"/>
        <v>0</v>
      </c>
      <c r="N1223" s="150">
        <f t="shared" ref="N1223" si="1760">SUM(B1223:M1223)</f>
        <v>3</v>
      </c>
      <c r="O1223" s="22">
        <f t="shared" ref="O1223" si="1761">IF(N1223=0,0,AVERAGE(B1223:M1223))</f>
        <v>0.25</v>
      </c>
      <c r="P1223" s="8"/>
      <c r="Q1223" s="8"/>
      <c r="R1223" s="8"/>
      <c r="S1223" s="8"/>
      <c r="T1223" s="8"/>
      <c r="U1223" s="8"/>
      <c r="V1223" s="8"/>
      <c r="W1223" s="8"/>
      <c r="X1223" s="8"/>
      <c r="Y1223" s="8"/>
      <c r="Z1223" s="8"/>
    </row>
    <row r="1224" spans="1:26" s="9" customFormat="1" ht="15.75">
      <c r="A1224" s="62" t="s">
        <v>21</v>
      </c>
      <c r="B1224" s="24">
        <f t="shared" ref="B1224:G1224" si="1762">SUM(B1213:B1223)</f>
        <v>45</v>
      </c>
      <c r="C1224" s="24">
        <f t="shared" si="1762"/>
        <v>42</v>
      </c>
      <c r="D1224" s="24">
        <f t="shared" si="1762"/>
        <v>38</v>
      </c>
      <c r="E1224" s="24">
        <f t="shared" si="1762"/>
        <v>27</v>
      </c>
      <c r="F1224" s="24">
        <f t="shared" si="1762"/>
        <v>35</v>
      </c>
      <c r="G1224" s="24">
        <f t="shared" si="1762"/>
        <v>41</v>
      </c>
      <c r="H1224" s="24">
        <f t="shared" ref="H1224:I1224" si="1763">SUM(H1213:H1223)</f>
        <v>55</v>
      </c>
      <c r="I1224" s="24">
        <f t="shared" si="1763"/>
        <v>53</v>
      </c>
      <c r="J1224" s="24">
        <f t="shared" ref="J1224:K1224" si="1764">SUM(J1213:J1223)</f>
        <v>42</v>
      </c>
      <c r="K1224" s="24">
        <f t="shared" si="1764"/>
        <v>42</v>
      </c>
      <c r="L1224" s="24">
        <f t="shared" ref="L1224:M1224" si="1765">SUM(L1213:L1223)</f>
        <v>51</v>
      </c>
      <c r="M1224" s="24">
        <f t="shared" si="1765"/>
        <v>20</v>
      </c>
      <c r="N1224" s="144">
        <f>SUM(N1209:N1222)</f>
        <v>6404</v>
      </c>
      <c r="O1224" s="25">
        <f>SUM(O1209:O1222)</f>
        <v>533.66666666666663</v>
      </c>
      <c r="P1224" s="8"/>
      <c r="Q1224" s="8"/>
      <c r="R1224" s="8"/>
      <c r="S1224" s="8"/>
      <c r="T1224" s="8"/>
      <c r="U1224" s="8"/>
      <c r="V1224" s="8"/>
      <c r="W1224" s="8"/>
      <c r="X1224" s="8"/>
      <c r="Y1224" s="8"/>
      <c r="Z1224" s="8"/>
    </row>
    <row r="1225" spans="1:26" s="9" customFormat="1" ht="15.75">
      <c r="A1225" s="62" t="s">
        <v>112</v>
      </c>
      <c r="B1225" s="25">
        <f t="shared" ref="B1225:F1225" si="1766">IF(B1224=0,"",B1224/B$1870)</f>
        <v>1.4516129032258065</v>
      </c>
      <c r="C1225" s="25">
        <f t="shared" si="1766"/>
        <v>1.5</v>
      </c>
      <c r="D1225" s="25">
        <f t="shared" si="1766"/>
        <v>1.2258064516129032</v>
      </c>
      <c r="E1225" s="25">
        <f t="shared" si="1766"/>
        <v>0.9</v>
      </c>
      <c r="F1225" s="25">
        <f t="shared" si="1766"/>
        <v>1.1290322580645162</v>
      </c>
      <c r="G1225" s="25">
        <f t="shared" ref="G1225:H1225" si="1767">IF(G1224=0,"",G1224/G$1870)</f>
        <v>1.3666666666666667</v>
      </c>
      <c r="H1225" s="25">
        <f t="shared" si="1767"/>
        <v>1.7741935483870968</v>
      </c>
      <c r="I1225" s="25">
        <f t="shared" ref="I1225:J1225" si="1768">IF(I1224=0,"",I1224/I$1870)</f>
        <v>1.7096774193548387</v>
      </c>
      <c r="J1225" s="25">
        <f t="shared" si="1768"/>
        <v>1.4</v>
      </c>
      <c r="K1225" s="25">
        <f t="shared" ref="K1225:L1225" si="1769">IF(K1224=0,"",K1224/K$1870)</f>
        <v>1.3548387096774193</v>
      </c>
      <c r="L1225" s="25">
        <f t="shared" si="1769"/>
        <v>1.7</v>
      </c>
      <c r="M1225" s="25">
        <f t="shared" ref="M1225" si="1770">IF(M1224=0,"",M1224/M$1870)</f>
        <v>0.64516129032258063</v>
      </c>
      <c r="N1225" s="144">
        <f>SUM(B1225:M1225)</f>
        <v>16.156989247311827</v>
      </c>
      <c r="O1225" s="25">
        <f>IF(N1225=0,0,AVERAGE(B1225:M1225))</f>
        <v>1.3464157706093189</v>
      </c>
      <c r="P1225" s="8"/>
      <c r="Q1225" s="8"/>
      <c r="R1225" s="8"/>
      <c r="S1225" s="8"/>
      <c r="T1225" s="8"/>
      <c r="U1225" s="8"/>
      <c r="V1225" s="8"/>
      <c r="W1225" s="8"/>
      <c r="X1225" s="8"/>
      <c r="Y1225" s="8"/>
      <c r="Z1225" s="8"/>
    </row>
    <row r="1226" spans="1:26" s="9" customFormat="1">
      <c r="A1226" s="356"/>
      <c r="B1226" s="351"/>
      <c r="C1226" s="351"/>
      <c r="D1226" s="351"/>
      <c r="E1226" s="351"/>
      <c r="F1226" s="351"/>
      <c r="G1226" s="351"/>
      <c r="H1226" s="351"/>
      <c r="I1226" s="351"/>
      <c r="J1226" s="351"/>
      <c r="K1226" s="351"/>
      <c r="L1226" s="351"/>
      <c r="M1226" s="351"/>
      <c r="N1226" s="352"/>
      <c r="O1226" s="353"/>
      <c r="P1226" s="8"/>
      <c r="Q1226" s="8"/>
      <c r="R1226" s="8"/>
      <c r="S1226" s="8"/>
      <c r="T1226" s="8"/>
      <c r="U1226" s="8"/>
      <c r="V1226" s="8"/>
      <c r="W1226" s="8"/>
      <c r="X1226" s="8"/>
      <c r="Y1226" s="8"/>
      <c r="Z1226" s="8"/>
    </row>
    <row r="1227" spans="1:26" s="9" customFormat="1" ht="15.75">
      <c r="A1227" s="66" t="s">
        <v>793</v>
      </c>
      <c r="B1227" s="81"/>
      <c r="C1227" s="81"/>
      <c r="D1227" s="81"/>
      <c r="E1227" s="81"/>
      <c r="F1227" s="81"/>
      <c r="G1227" s="81"/>
      <c r="H1227" s="81"/>
      <c r="I1227" s="81"/>
      <c r="J1227" s="81"/>
      <c r="K1227" s="81"/>
      <c r="L1227" s="81"/>
      <c r="M1227" s="81"/>
      <c r="N1227" s="165"/>
      <c r="O1227" s="82"/>
      <c r="P1227" s="8"/>
      <c r="Q1227" s="8"/>
      <c r="R1227" s="8"/>
      <c r="S1227" s="8"/>
      <c r="T1227" s="8"/>
      <c r="U1227" s="8"/>
      <c r="V1227" s="8"/>
      <c r="W1227" s="8"/>
      <c r="X1227" s="8"/>
      <c r="Y1227" s="8"/>
      <c r="Z1227" s="8"/>
    </row>
    <row r="1228" spans="1:26" s="9" customFormat="1" ht="15.75">
      <c r="A1228" s="360" t="s">
        <v>675</v>
      </c>
      <c r="B1228" s="361">
        <v>0</v>
      </c>
      <c r="C1228" s="361">
        <v>0</v>
      </c>
      <c r="D1228" s="361">
        <v>0</v>
      </c>
      <c r="E1228" s="361">
        <v>0</v>
      </c>
      <c r="F1228" s="361">
        <v>0</v>
      </c>
      <c r="G1228" s="361">
        <v>2</v>
      </c>
      <c r="H1228" s="361">
        <v>3</v>
      </c>
      <c r="I1228" s="361">
        <v>1</v>
      </c>
      <c r="J1228" s="361">
        <v>1</v>
      </c>
      <c r="K1228" s="361">
        <v>0</v>
      </c>
      <c r="L1228" s="361">
        <v>0</v>
      </c>
      <c r="M1228" s="361">
        <v>0</v>
      </c>
      <c r="N1228" s="150">
        <f>SUM(B1228:M1228)</f>
        <v>7</v>
      </c>
      <c r="O1228" s="22">
        <f>IF(N1228=0,0,AVERAGE(B1228:M1228))</f>
        <v>0.58333333333333337</v>
      </c>
      <c r="P1228" s="8"/>
      <c r="Q1228" s="8"/>
      <c r="R1228" s="8"/>
      <c r="S1228" s="8"/>
      <c r="T1228" s="8"/>
      <c r="U1228" s="8"/>
      <c r="V1228" s="8"/>
      <c r="W1228" s="8"/>
      <c r="X1228" s="8"/>
      <c r="Y1228" s="8"/>
      <c r="Z1228" s="8"/>
    </row>
    <row r="1229" spans="1:26" s="9" customFormat="1" ht="15.75">
      <c r="A1229" s="360" t="s">
        <v>677</v>
      </c>
      <c r="B1229" s="361">
        <v>0</v>
      </c>
      <c r="C1229" s="361">
        <v>1</v>
      </c>
      <c r="D1229" s="361">
        <v>0</v>
      </c>
      <c r="E1229" s="361">
        <v>0</v>
      </c>
      <c r="F1229" s="361">
        <v>0</v>
      </c>
      <c r="G1229" s="361">
        <v>1</v>
      </c>
      <c r="H1229" s="361">
        <v>3</v>
      </c>
      <c r="I1229" s="361">
        <v>2</v>
      </c>
      <c r="J1229" s="361">
        <v>0</v>
      </c>
      <c r="K1229" s="361">
        <v>0</v>
      </c>
      <c r="L1229" s="361">
        <v>0</v>
      </c>
      <c r="M1229" s="361">
        <v>0</v>
      </c>
      <c r="N1229" s="150">
        <f t="shared" ref="N1229:N1238" si="1771">SUM(B1229:M1229)</f>
        <v>7</v>
      </c>
      <c r="O1229" s="22">
        <f t="shared" ref="O1229:O1238" si="1772">IF(N1229=0,0,AVERAGE(B1229:M1229))</f>
        <v>0.58333333333333337</v>
      </c>
      <c r="P1229" s="8"/>
      <c r="Q1229" s="8"/>
      <c r="R1229" s="8"/>
      <c r="S1229" s="8"/>
      <c r="T1229" s="8"/>
      <c r="U1229" s="8"/>
      <c r="V1229" s="8"/>
      <c r="W1229" s="8"/>
      <c r="X1229" s="8"/>
      <c r="Y1229" s="8"/>
      <c r="Z1229" s="8"/>
    </row>
    <row r="1230" spans="1:26" s="9" customFormat="1" ht="15.75">
      <c r="A1230" s="360" t="s">
        <v>676</v>
      </c>
      <c r="B1230" s="361">
        <v>0</v>
      </c>
      <c r="C1230" s="361">
        <v>1</v>
      </c>
      <c r="D1230" s="361">
        <v>1</v>
      </c>
      <c r="E1230" s="361">
        <v>0</v>
      </c>
      <c r="F1230" s="361">
        <v>2</v>
      </c>
      <c r="G1230" s="361">
        <v>0</v>
      </c>
      <c r="H1230" s="361">
        <v>2</v>
      </c>
      <c r="I1230" s="361">
        <v>2</v>
      </c>
      <c r="J1230" s="361">
        <v>0</v>
      </c>
      <c r="K1230" s="361">
        <v>0</v>
      </c>
      <c r="L1230" s="361">
        <v>1</v>
      </c>
      <c r="M1230" s="361">
        <v>0</v>
      </c>
      <c r="N1230" s="150">
        <f t="shared" si="1771"/>
        <v>9</v>
      </c>
      <c r="O1230" s="22">
        <f t="shared" si="1772"/>
        <v>0.75</v>
      </c>
      <c r="P1230" s="8"/>
      <c r="Q1230" s="8"/>
      <c r="R1230" s="8"/>
      <c r="S1230" s="8"/>
      <c r="T1230" s="8"/>
      <c r="U1230" s="8"/>
      <c r="V1230" s="8"/>
      <c r="W1230" s="8"/>
      <c r="X1230" s="8"/>
      <c r="Y1230" s="8"/>
      <c r="Z1230" s="8"/>
    </row>
    <row r="1231" spans="1:26" s="9" customFormat="1" ht="15.75">
      <c r="A1231" s="360" t="s">
        <v>678</v>
      </c>
      <c r="B1231" s="361">
        <v>0</v>
      </c>
      <c r="C1231" s="361">
        <v>0</v>
      </c>
      <c r="D1231" s="361">
        <v>1</v>
      </c>
      <c r="E1231" s="361">
        <v>0</v>
      </c>
      <c r="F1231" s="361">
        <v>1</v>
      </c>
      <c r="G1231" s="361">
        <v>0</v>
      </c>
      <c r="H1231" s="361">
        <v>1</v>
      </c>
      <c r="I1231" s="361">
        <v>2</v>
      </c>
      <c r="J1231" s="361">
        <v>0</v>
      </c>
      <c r="K1231" s="361">
        <v>0</v>
      </c>
      <c r="L1231" s="361">
        <v>0</v>
      </c>
      <c r="M1231" s="361">
        <v>0</v>
      </c>
      <c r="N1231" s="150">
        <f t="shared" si="1771"/>
        <v>5</v>
      </c>
      <c r="O1231" s="22">
        <f t="shared" si="1772"/>
        <v>0.41666666666666669</v>
      </c>
      <c r="P1231" s="8"/>
      <c r="Q1231" s="8"/>
      <c r="R1231" s="8"/>
      <c r="S1231" s="8"/>
      <c r="T1231" s="8"/>
      <c r="U1231" s="8"/>
      <c r="V1231" s="8"/>
      <c r="W1231" s="8"/>
      <c r="X1231" s="8"/>
      <c r="Y1231" s="8"/>
      <c r="Z1231" s="8"/>
    </row>
    <row r="1232" spans="1:26" s="9" customFormat="1" ht="15.75">
      <c r="A1232" s="360" t="s">
        <v>411</v>
      </c>
      <c r="B1232" s="361">
        <v>0</v>
      </c>
      <c r="C1232" s="361">
        <v>0</v>
      </c>
      <c r="D1232" s="361">
        <v>1</v>
      </c>
      <c r="E1232" s="361">
        <v>0</v>
      </c>
      <c r="F1232" s="361">
        <v>1</v>
      </c>
      <c r="G1232" s="361">
        <v>0</v>
      </c>
      <c r="H1232" s="361">
        <v>1</v>
      </c>
      <c r="I1232" s="361">
        <v>2</v>
      </c>
      <c r="J1232" s="361">
        <v>0</v>
      </c>
      <c r="K1232" s="361">
        <v>0</v>
      </c>
      <c r="L1232" s="361">
        <v>0</v>
      </c>
      <c r="M1232" s="361">
        <v>0</v>
      </c>
      <c r="N1232" s="150">
        <f t="shared" si="1771"/>
        <v>5</v>
      </c>
      <c r="O1232" s="22">
        <f t="shared" si="1772"/>
        <v>0.41666666666666669</v>
      </c>
      <c r="P1232" s="8"/>
      <c r="Q1232" s="8"/>
      <c r="R1232" s="8"/>
      <c r="S1232" s="8"/>
      <c r="T1232" s="8"/>
      <c r="U1232" s="8"/>
      <c r="V1232" s="8"/>
      <c r="W1232" s="8"/>
      <c r="X1232" s="8"/>
      <c r="Y1232" s="8"/>
      <c r="Z1232" s="8"/>
    </row>
    <row r="1233" spans="1:26" s="9" customFormat="1" ht="15.75">
      <c r="A1233" s="360" t="s">
        <v>159</v>
      </c>
      <c r="B1233" s="361">
        <v>1</v>
      </c>
      <c r="C1233" s="361">
        <v>1</v>
      </c>
      <c r="D1233" s="361">
        <v>2</v>
      </c>
      <c r="E1233" s="361">
        <v>1</v>
      </c>
      <c r="F1233" s="361">
        <v>3</v>
      </c>
      <c r="G1233" s="361">
        <v>1</v>
      </c>
      <c r="H1233" s="361">
        <v>3</v>
      </c>
      <c r="I1233" s="361">
        <v>7</v>
      </c>
      <c r="J1233" s="361">
        <v>1</v>
      </c>
      <c r="K1233" s="361">
        <v>4</v>
      </c>
      <c r="L1233" s="361">
        <v>0</v>
      </c>
      <c r="M1233" s="361">
        <v>0</v>
      </c>
      <c r="N1233" s="150">
        <f t="shared" si="1771"/>
        <v>24</v>
      </c>
      <c r="O1233" s="22">
        <f t="shared" si="1772"/>
        <v>2</v>
      </c>
      <c r="P1233" s="8"/>
      <c r="Q1233" s="8"/>
      <c r="R1233" s="8"/>
      <c r="S1233" s="8"/>
      <c r="T1233" s="8"/>
      <c r="U1233" s="8"/>
      <c r="V1233" s="8"/>
      <c r="W1233" s="8"/>
      <c r="X1233" s="8"/>
      <c r="Y1233" s="8"/>
      <c r="Z1233" s="8"/>
    </row>
    <row r="1234" spans="1:26" s="9" customFormat="1" ht="15.75">
      <c r="A1234" s="360" t="s">
        <v>679</v>
      </c>
      <c r="B1234" s="361">
        <v>1</v>
      </c>
      <c r="C1234" s="361">
        <v>1</v>
      </c>
      <c r="D1234" s="361">
        <v>1</v>
      </c>
      <c r="E1234" s="361">
        <v>1</v>
      </c>
      <c r="F1234" s="361">
        <v>1</v>
      </c>
      <c r="G1234" s="361">
        <v>1</v>
      </c>
      <c r="H1234" s="361">
        <v>1</v>
      </c>
      <c r="I1234" s="361">
        <v>1</v>
      </c>
      <c r="J1234" s="361">
        <v>3</v>
      </c>
      <c r="K1234" s="361">
        <v>0</v>
      </c>
      <c r="L1234" s="361">
        <v>0</v>
      </c>
      <c r="M1234" s="361">
        <v>0</v>
      </c>
      <c r="N1234" s="150">
        <f t="shared" si="1771"/>
        <v>11</v>
      </c>
      <c r="O1234" s="22">
        <f t="shared" si="1772"/>
        <v>0.91666666666666663</v>
      </c>
      <c r="P1234" s="8"/>
      <c r="Q1234" s="8"/>
      <c r="R1234" s="8"/>
      <c r="S1234" s="8"/>
      <c r="T1234" s="8"/>
      <c r="U1234" s="8"/>
      <c r="V1234" s="8"/>
      <c r="W1234" s="8"/>
      <c r="X1234" s="8"/>
      <c r="Y1234" s="8"/>
      <c r="Z1234" s="8"/>
    </row>
    <row r="1235" spans="1:26" s="9" customFormat="1" ht="15.75">
      <c r="A1235" s="360" t="s">
        <v>680</v>
      </c>
      <c r="B1235" s="361">
        <v>0</v>
      </c>
      <c r="C1235" s="361">
        <v>0</v>
      </c>
      <c r="D1235" s="361">
        <v>0</v>
      </c>
      <c r="E1235" s="361">
        <v>1</v>
      </c>
      <c r="F1235" s="361">
        <v>2</v>
      </c>
      <c r="G1235" s="361">
        <v>0</v>
      </c>
      <c r="H1235" s="361">
        <v>1</v>
      </c>
      <c r="I1235" s="361">
        <v>0</v>
      </c>
      <c r="J1235" s="361">
        <v>0</v>
      </c>
      <c r="K1235" s="361">
        <v>0</v>
      </c>
      <c r="L1235" s="361">
        <v>0</v>
      </c>
      <c r="M1235" s="361">
        <v>1</v>
      </c>
      <c r="N1235" s="150">
        <f t="shared" si="1771"/>
        <v>5</v>
      </c>
      <c r="O1235" s="22">
        <f t="shared" si="1772"/>
        <v>0.41666666666666669</v>
      </c>
      <c r="P1235" s="8"/>
      <c r="Q1235" s="8"/>
      <c r="R1235" s="8"/>
      <c r="S1235" s="8"/>
      <c r="T1235" s="8"/>
      <c r="U1235" s="8"/>
      <c r="V1235" s="8"/>
      <c r="W1235" s="8"/>
      <c r="X1235" s="8"/>
      <c r="Y1235" s="8"/>
      <c r="Z1235" s="8"/>
    </row>
    <row r="1236" spans="1:26" s="9" customFormat="1" ht="15.75">
      <c r="A1236" s="360" t="s">
        <v>681</v>
      </c>
      <c r="B1236" s="361">
        <v>0</v>
      </c>
      <c r="C1236" s="361">
        <v>0</v>
      </c>
      <c r="D1236" s="361">
        <v>0</v>
      </c>
      <c r="E1236" s="361">
        <v>0</v>
      </c>
      <c r="F1236" s="361">
        <v>0</v>
      </c>
      <c r="G1236" s="361">
        <v>0</v>
      </c>
      <c r="H1236" s="361">
        <v>0</v>
      </c>
      <c r="I1236" s="361">
        <v>1</v>
      </c>
      <c r="J1236" s="361">
        <v>0</v>
      </c>
      <c r="K1236" s="361">
        <v>1</v>
      </c>
      <c r="L1236" s="361">
        <v>0</v>
      </c>
      <c r="M1236" s="361">
        <v>0</v>
      </c>
      <c r="N1236" s="150">
        <f t="shared" si="1771"/>
        <v>2</v>
      </c>
      <c r="O1236" s="22">
        <f t="shared" si="1772"/>
        <v>0.16666666666666666</v>
      </c>
      <c r="P1236" s="8"/>
      <c r="Q1236" s="8"/>
      <c r="R1236" s="8"/>
      <c r="S1236" s="8"/>
      <c r="T1236" s="8"/>
      <c r="U1236" s="8"/>
      <c r="V1236" s="8"/>
      <c r="W1236" s="8"/>
      <c r="X1236" s="8"/>
      <c r="Y1236" s="8"/>
      <c r="Z1236" s="8"/>
    </row>
    <row r="1237" spans="1:26" s="9" customFormat="1" ht="15.75">
      <c r="A1237" s="360" t="s">
        <v>682</v>
      </c>
      <c r="B1237" s="361">
        <v>7</v>
      </c>
      <c r="C1237" s="361">
        <v>2</v>
      </c>
      <c r="D1237" s="361">
        <v>1</v>
      </c>
      <c r="E1237" s="361">
        <v>3</v>
      </c>
      <c r="F1237" s="361">
        <v>2</v>
      </c>
      <c r="G1237" s="361">
        <v>12</v>
      </c>
      <c r="H1237" s="361">
        <v>7</v>
      </c>
      <c r="I1237" s="361">
        <v>5</v>
      </c>
      <c r="J1237" s="361">
        <v>3</v>
      </c>
      <c r="K1237" s="361">
        <f>4+1</f>
        <v>5</v>
      </c>
      <c r="L1237" s="361">
        <v>8</v>
      </c>
      <c r="M1237" s="361">
        <f>1+1</f>
        <v>2</v>
      </c>
      <c r="N1237" s="150">
        <f t="shared" ref="N1237" si="1773">SUM(B1237:M1237)</f>
        <v>57</v>
      </c>
      <c r="O1237" s="22">
        <f t="shared" ref="O1237" si="1774">IF(N1237=0,0,AVERAGE(B1237:M1237))</f>
        <v>4.75</v>
      </c>
      <c r="P1237" s="8"/>
      <c r="Q1237" s="8"/>
      <c r="R1237" s="8"/>
      <c r="S1237" s="8"/>
      <c r="T1237" s="8"/>
      <c r="U1237" s="8"/>
      <c r="V1237" s="8"/>
      <c r="W1237" s="8"/>
      <c r="X1237" s="8"/>
      <c r="Y1237" s="8"/>
      <c r="Z1237" s="8"/>
    </row>
    <row r="1238" spans="1:26" s="9" customFormat="1" ht="15.75">
      <c r="A1238" s="360" t="s">
        <v>22</v>
      </c>
      <c r="B1238" s="361">
        <v>0</v>
      </c>
      <c r="C1238" s="361">
        <v>1</v>
      </c>
      <c r="D1238" s="361">
        <v>0</v>
      </c>
      <c r="E1238" s="361">
        <v>0</v>
      </c>
      <c r="F1238" s="361">
        <v>0</v>
      </c>
      <c r="G1238" s="361">
        <v>0</v>
      </c>
      <c r="H1238" s="361">
        <v>0</v>
      </c>
      <c r="I1238" s="361">
        <v>0</v>
      </c>
      <c r="J1238" s="361">
        <v>0</v>
      </c>
      <c r="K1238" s="361">
        <v>0</v>
      </c>
      <c r="L1238" s="361">
        <v>0</v>
      </c>
      <c r="M1238" s="361">
        <v>0</v>
      </c>
      <c r="N1238" s="150">
        <f t="shared" si="1771"/>
        <v>1</v>
      </c>
      <c r="O1238" s="22">
        <f t="shared" si="1772"/>
        <v>8.3333333333333329E-2</v>
      </c>
      <c r="P1238" s="8"/>
      <c r="Q1238" s="8"/>
      <c r="R1238" s="8"/>
      <c r="S1238" s="8"/>
      <c r="T1238" s="8"/>
      <c r="U1238" s="8"/>
      <c r="V1238" s="8"/>
      <c r="W1238" s="8"/>
      <c r="X1238" s="8"/>
      <c r="Y1238" s="8"/>
      <c r="Z1238" s="8"/>
    </row>
    <row r="1239" spans="1:26" s="9" customFormat="1" ht="15.75">
      <c r="A1239" s="62" t="s">
        <v>21</v>
      </c>
      <c r="B1239" s="24">
        <f t="shared" ref="B1239:G1239" si="1775">SUM(B1228:B1238)</f>
        <v>9</v>
      </c>
      <c r="C1239" s="24">
        <f t="shared" si="1775"/>
        <v>7</v>
      </c>
      <c r="D1239" s="24">
        <f t="shared" si="1775"/>
        <v>7</v>
      </c>
      <c r="E1239" s="24">
        <f t="shared" si="1775"/>
        <v>6</v>
      </c>
      <c r="F1239" s="24">
        <f t="shared" si="1775"/>
        <v>12</v>
      </c>
      <c r="G1239" s="24">
        <f t="shared" si="1775"/>
        <v>17</v>
      </c>
      <c r="H1239" s="24">
        <f t="shared" ref="H1239:I1239" si="1776">SUM(H1228:H1238)</f>
        <v>22</v>
      </c>
      <c r="I1239" s="24">
        <f t="shared" si="1776"/>
        <v>23</v>
      </c>
      <c r="J1239" s="24">
        <f t="shared" ref="J1239:K1239" si="1777">SUM(J1228:J1238)</f>
        <v>8</v>
      </c>
      <c r="K1239" s="24">
        <f t="shared" si="1777"/>
        <v>10</v>
      </c>
      <c r="L1239" s="24">
        <f t="shared" ref="L1239:M1239" si="1778">SUM(L1228:L1238)</f>
        <v>9</v>
      </c>
      <c r="M1239" s="24">
        <f t="shared" si="1778"/>
        <v>3</v>
      </c>
      <c r="N1239" s="144">
        <f>SUM(N1224:N1238)</f>
        <v>6553.1569892473117</v>
      </c>
      <c r="O1239" s="25">
        <f>SUM(O1224:O1238)</f>
        <v>546.09641577060916</v>
      </c>
      <c r="P1239" s="8"/>
      <c r="Q1239" s="8"/>
      <c r="R1239" s="8"/>
      <c r="S1239" s="8"/>
      <c r="T1239" s="8"/>
      <c r="U1239" s="8"/>
      <c r="V1239" s="8"/>
      <c r="W1239" s="8"/>
      <c r="X1239" s="8"/>
      <c r="Y1239" s="8"/>
      <c r="Z1239" s="8"/>
    </row>
    <row r="1240" spans="1:26" s="9" customFormat="1" ht="15.75">
      <c r="A1240" s="62" t="s">
        <v>112</v>
      </c>
      <c r="B1240" s="25">
        <f t="shared" ref="B1240:G1240" si="1779">IF(B1239=0,"",B1239/B$1870)</f>
        <v>0.29032258064516131</v>
      </c>
      <c r="C1240" s="25">
        <f t="shared" si="1779"/>
        <v>0.25</v>
      </c>
      <c r="D1240" s="25">
        <f t="shared" si="1779"/>
        <v>0.22580645161290322</v>
      </c>
      <c r="E1240" s="25">
        <f t="shared" si="1779"/>
        <v>0.2</v>
      </c>
      <c r="F1240" s="25">
        <f t="shared" si="1779"/>
        <v>0.38709677419354838</v>
      </c>
      <c r="G1240" s="25">
        <f t="shared" si="1779"/>
        <v>0.56666666666666665</v>
      </c>
      <c r="H1240" s="25">
        <f t="shared" ref="H1240:I1240" si="1780">IF(H1239=0,"",H1239/H$1870)</f>
        <v>0.70967741935483875</v>
      </c>
      <c r="I1240" s="25">
        <f t="shared" si="1780"/>
        <v>0.74193548387096775</v>
      </c>
      <c r="J1240" s="25">
        <f t="shared" ref="J1240" si="1781">IF(J1239=0,"",J1239/J$1870)</f>
        <v>0.26666666666666666</v>
      </c>
      <c r="K1240" s="25">
        <f t="shared" ref="K1240" si="1782">IF(K1239=0,"",K1239/K$1870)</f>
        <v>0.32258064516129031</v>
      </c>
      <c r="L1240" s="25">
        <f t="shared" ref="L1240:M1240" si="1783">IF(L1239=0,"",L1239/L$1870)</f>
        <v>0.3</v>
      </c>
      <c r="M1240" s="25">
        <f t="shared" si="1783"/>
        <v>9.6774193548387094E-2</v>
      </c>
      <c r="N1240" s="144">
        <f>SUM(B1240:M1240)</f>
        <v>4.35752688172043</v>
      </c>
      <c r="O1240" s="25">
        <f>IF(N1240=0,0,AVERAGE(B1240:M1240))</f>
        <v>0.36312724014336917</v>
      </c>
      <c r="P1240" s="8"/>
      <c r="Q1240" s="8"/>
      <c r="R1240" s="8"/>
      <c r="S1240" s="8"/>
      <c r="T1240" s="8"/>
      <c r="U1240" s="8"/>
      <c r="V1240" s="8"/>
      <c r="W1240" s="8"/>
      <c r="X1240" s="8"/>
      <c r="Y1240" s="8"/>
      <c r="Z1240" s="8"/>
    </row>
    <row r="1241" spans="1:26" s="9" customFormat="1" ht="15.75">
      <c r="A1241" s="350"/>
      <c r="B1241" s="351"/>
      <c r="C1241" s="351"/>
      <c r="D1241" s="351"/>
      <c r="E1241" s="351"/>
      <c r="F1241" s="351"/>
      <c r="G1241" s="351"/>
      <c r="H1241" s="351"/>
      <c r="I1241" s="351"/>
      <c r="J1241" s="351"/>
      <c r="K1241" s="351"/>
      <c r="L1241" s="351"/>
      <c r="M1241" s="351"/>
      <c r="N1241" s="352"/>
      <c r="O1241" s="353"/>
      <c r="P1241" s="8"/>
      <c r="Q1241" s="8"/>
      <c r="R1241" s="8"/>
      <c r="S1241" s="8"/>
      <c r="T1241" s="8"/>
      <c r="U1241" s="8"/>
      <c r="V1241" s="8"/>
      <c r="W1241" s="8"/>
      <c r="X1241" s="8"/>
      <c r="Y1241" s="8"/>
      <c r="Z1241" s="8"/>
    </row>
    <row r="1242" spans="1:26" s="9" customFormat="1" ht="15.75">
      <c r="A1242" s="66" t="s">
        <v>794</v>
      </c>
      <c r="B1242" s="18"/>
      <c r="C1242" s="18"/>
      <c r="D1242" s="18"/>
      <c r="E1242" s="18"/>
      <c r="F1242" s="18"/>
      <c r="G1242" s="18"/>
      <c r="H1242" s="18"/>
      <c r="I1242" s="18"/>
      <c r="J1242" s="18"/>
      <c r="K1242" s="18"/>
      <c r="L1242" s="18"/>
      <c r="M1242" s="18"/>
      <c r="N1242" s="149"/>
      <c r="O1242" s="19"/>
      <c r="P1242" s="8"/>
      <c r="Q1242" s="8"/>
      <c r="R1242" s="8"/>
      <c r="S1242" s="8"/>
      <c r="T1242" s="8"/>
      <c r="U1242" s="8"/>
      <c r="V1242" s="8"/>
      <c r="W1242" s="8"/>
      <c r="X1242" s="8"/>
      <c r="Y1242" s="8"/>
      <c r="Z1242" s="8"/>
    </row>
    <row r="1243" spans="1:26" s="9" customFormat="1" ht="15.75">
      <c r="A1243" s="40" t="s">
        <v>18</v>
      </c>
      <c r="B1243" s="21">
        <v>3</v>
      </c>
      <c r="C1243" s="21">
        <v>0</v>
      </c>
      <c r="D1243" s="21">
        <v>0</v>
      </c>
      <c r="E1243" s="21">
        <v>0</v>
      </c>
      <c r="F1243" s="21">
        <v>2</v>
      </c>
      <c r="G1243" s="21">
        <v>10</v>
      </c>
      <c r="H1243" s="21">
        <v>7</v>
      </c>
      <c r="I1243" s="21">
        <v>1</v>
      </c>
      <c r="J1243" s="21">
        <v>4</v>
      </c>
      <c r="K1243" s="21">
        <v>4</v>
      </c>
      <c r="L1243" s="21">
        <v>6</v>
      </c>
      <c r="M1243" s="21">
        <v>1</v>
      </c>
      <c r="N1243" s="150">
        <f>SUM(B1243:M1243)</f>
        <v>38</v>
      </c>
      <c r="O1243" s="22">
        <f>IF(N1243=0,0,AVERAGE(B1243:M1243))</f>
        <v>3.1666666666666665</v>
      </c>
      <c r="P1243" s="8"/>
      <c r="Q1243" s="8"/>
      <c r="R1243" s="8"/>
      <c r="S1243" s="8"/>
      <c r="T1243" s="8"/>
      <c r="U1243" s="8"/>
      <c r="V1243" s="8"/>
      <c r="W1243" s="8"/>
      <c r="X1243" s="8"/>
      <c r="Y1243" s="8"/>
      <c r="Z1243" s="8"/>
    </row>
    <row r="1244" spans="1:26" s="9" customFormat="1" ht="15.75">
      <c r="A1244" s="40" t="s">
        <v>19</v>
      </c>
      <c r="B1244" s="21">
        <v>6</v>
      </c>
      <c r="C1244" s="21">
        <v>4</v>
      </c>
      <c r="D1244" s="21">
        <v>7</v>
      </c>
      <c r="E1244" s="21">
        <v>6</v>
      </c>
      <c r="F1244" s="21">
        <v>10</v>
      </c>
      <c r="G1244" s="21">
        <v>7</v>
      </c>
      <c r="H1244" s="21">
        <v>14</v>
      </c>
      <c r="I1244" s="21">
        <v>19</v>
      </c>
      <c r="J1244" s="21">
        <v>4</v>
      </c>
      <c r="K1244" s="21">
        <v>6</v>
      </c>
      <c r="L1244" s="21">
        <v>3</v>
      </c>
      <c r="M1244" s="21">
        <v>2</v>
      </c>
      <c r="N1244" s="150">
        <f>SUM(B1244:M1244)</f>
        <v>88</v>
      </c>
      <c r="O1244" s="22">
        <f>IF(N1244=0,0,AVERAGE(B1244:M1244))</f>
        <v>7.333333333333333</v>
      </c>
      <c r="P1244" s="8"/>
      <c r="Q1244" s="8"/>
      <c r="R1244" s="8"/>
      <c r="S1244" s="8"/>
      <c r="T1244" s="8"/>
      <c r="U1244" s="8"/>
      <c r="V1244" s="8"/>
      <c r="W1244" s="8"/>
      <c r="X1244" s="8"/>
      <c r="Y1244" s="8"/>
      <c r="Z1244" s="8"/>
    </row>
    <row r="1245" spans="1:26" s="9" customFormat="1" ht="15.75">
      <c r="A1245" s="40" t="s">
        <v>20</v>
      </c>
      <c r="B1245" s="21">
        <v>0</v>
      </c>
      <c r="C1245" s="21">
        <v>3</v>
      </c>
      <c r="D1245" s="21">
        <v>0</v>
      </c>
      <c r="E1245" s="21">
        <v>0</v>
      </c>
      <c r="F1245" s="87">
        <v>0</v>
      </c>
      <c r="G1245" s="21">
        <v>0</v>
      </c>
      <c r="H1245" s="21">
        <v>1</v>
      </c>
      <c r="I1245" s="21">
        <v>3</v>
      </c>
      <c r="J1245" s="21">
        <v>0</v>
      </c>
      <c r="K1245" s="21">
        <v>0</v>
      </c>
      <c r="L1245" s="21">
        <v>0</v>
      </c>
      <c r="M1245" s="21">
        <v>0</v>
      </c>
      <c r="N1245" s="150">
        <f>SUM(B1245:M1245)</f>
        <v>7</v>
      </c>
      <c r="O1245" s="22">
        <f>IF(N1245=0,0,AVERAGE(B1245:M1245))</f>
        <v>0.58333333333333337</v>
      </c>
      <c r="P1245" s="8"/>
      <c r="Q1245" s="8"/>
      <c r="R1245" s="8"/>
      <c r="S1245" s="8"/>
      <c r="T1245" s="8"/>
      <c r="U1245" s="8"/>
      <c r="V1245" s="8"/>
      <c r="W1245" s="8"/>
      <c r="X1245" s="8"/>
      <c r="Y1245" s="8"/>
      <c r="Z1245" s="8"/>
    </row>
    <row r="1246" spans="1:26" s="9" customFormat="1" ht="15.75">
      <c r="A1246" s="62" t="s">
        <v>21</v>
      </c>
      <c r="B1246" s="24">
        <f t="shared" ref="B1246:C1246" si="1784">SUM(B1243:B1245)</f>
        <v>9</v>
      </c>
      <c r="C1246" s="24">
        <f t="shared" si="1784"/>
        <v>7</v>
      </c>
      <c r="D1246" s="24">
        <f t="shared" ref="D1246:E1246" si="1785">SUM(D1243:D1245)</f>
        <v>7</v>
      </c>
      <c r="E1246" s="24">
        <f t="shared" si="1785"/>
        <v>6</v>
      </c>
      <c r="F1246" s="24">
        <f t="shared" ref="F1246:G1246" si="1786">SUM(F1243:F1245)</f>
        <v>12</v>
      </c>
      <c r="G1246" s="24">
        <f t="shared" si="1786"/>
        <v>17</v>
      </c>
      <c r="H1246" s="24">
        <f t="shared" ref="H1246:I1246" si="1787">SUM(H1243:H1245)</f>
        <v>22</v>
      </c>
      <c r="I1246" s="24">
        <f t="shared" si="1787"/>
        <v>23</v>
      </c>
      <c r="J1246" s="24">
        <f t="shared" ref="J1246:K1246" si="1788">SUM(J1243:J1245)</f>
        <v>8</v>
      </c>
      <c r="K1246" s="24">
        <f t="shared" si="1788"/>
        <v>10</v>
      </c>
      <c r="L1246" s="24">
        <f t="shared" ref="L1246:M1246" si="1789">SUM(L1243:L1245)</f>
        <v>9</v>
      </c>
      <c r="M1246" s="24">
        <f t="shared" si="1789"/>
        <v>3</v>
      </c>
      <c r="N1246" s="144">
        <f>SUM(N1243:N1245)</f>
        <v>133</v>
      </c>
      <c r="O1246" s="25">
        <f>SUM(O1243:O1245)</f>
        <v>11.083333333333334</v>
      </c>
      <c r="P1246" s="8"/>
      <c r="Q1246" s="8"/>
      <c r="R1246" s="8"/>
      <c r="S1246" s="8"/>
      <c r="T1246" s="8"/>
      <c r="U1246" s="8"/>
      <c r="V1246" s="8"/>
      <c r="W1246" s="8"/>
      <c r="X1246" s="8"/>
      <c r="Y1246" s="8"/>
      <c r="Z1246" s="8"/>
    </row>
    <row r="1247" spans="1:26" s="9" customFormat="1" ht="15.75">
      <c r="A1247" s="62" t="s">
        <v>112</v>
      </c>
      <c r="B1247" s="25">
        <f t="shared" ref="B1247:G1247" si="1790">IF(B1246=0,"",B1246/B$1870)</f>
        <v>0.29032258064516131</v>
      </c>
      <c r="C1247" s="25">
        <f t="shared" si="1790"/>
        <v>0.25</v>
      </c>
      <c r="D1247" s="25">
        <f t="shared" si="1790"/>
        <v>0.22580645161290322</v>
      </c>
      <c r="E1247" s="25">
        <f t="shared" si="1790"/>
        <v>0.2</v>
      </c>
      <c r="F1247" s="25">
        <f t="shared" si="1790"/>
        <v>0.38709677419354838</v>
      </c>
      <c r="G1247" s="25">
        <f t="shared" si="1790"/>
        <v>0.56666666666666665</v>
      </c>
      <c r="H1247" s="25">
        <f t="shared" ref="H1247:I1247" si="1791">IF(H1246=0,"",H1246/H$1870)</f>
        <v>0.70967741935483875</v>
      </c>
      <c r="I1247" s="25">
        <f t="shared" si="1791"/>
        <v>0.74193548387096775</v>
      </c>
      <c r="J1247" s="25">
        <f t="shared" ref="J1247:K1247" si="1792">IF(J1246=0,"",J1246/J$1870)</f>
        <v>0.26666666666666666</v>
      </c>
      <c r="K1247" s="25">
        <f t="shared" si="1792"/>
        <v>0.32258064516129031</v>
      </c>
      <c r="L1247" s="25">
        <f t="shared" ref="L1247:M1247" si="1793">IF(L1246=0,"",L1246/L$1870)</f>
        <v>0.3</v>
      </c>
      <c r="M1247" s="25">
        <f t="shared" si="1793"/>
        <v>9.6774193548387094E-2</v>
      </c>
      <c r="N1247" s="144">
        <f>SUM(B1247:M1247)</f>
        <v>4.35752688172043</v>
      </c>
      <c r="O1247" s="25">
        <f>IF(N1247=0,0,AVERAGE(B1247:M1247))</f>
        <v>0.36312724014336917</v>
      </c>
      <c r="P1247" s="8"/>
      <c r="Q1247" s="8"/>
      <c r="R1247" s="8"/>
      <c r="S1247" s="8"/>
      <c r="T1247" s="8"/>
      <c r="U1247" s="8"/>
      <c r="V1247" s="8"/>
      <c r="W1247" s="8"/>
      <c r="X1247" s="8"/>
      <c r="Y1247" s="8"/>
      <c r="Z1247" s="8"/>
    </row>
    <row r="1248" spans="1:26" s="9" customFormat="1" ht="15.75">
      <c r="A1248" s="350"/>
      <c r="B1248" s="351"/>
      <c r="C1248" s="351"/>
      <c r="D1248" s="351"/>
      <c r="E1248" s="351"/>
      <c r="F1248" s="351"/>
      <c r="G1248" s="351"/>
      <c r="H1248" s="351"/>
      <c r="I1248" s="351"/>
      <c r="J1248" s="351"/>
      <c r="K1248" s="351"/>
      <c r="L1248" s="351"/>
      <c r="M1248" s="351"/>
      <c r="N1248" s="352"/>
      <c r="O1248" s="353"/>
      <c r="P1248" s="8"/>
      <c r="Q1248" s="8"/>
      <c r="R1248" s="8"/>
      <c r="S1248" s="8"/>
      <c r="T1248" s="8"/>
      <c r="U1248" s="8"/>
      <c r="V1248" s="8"/>
      <c r="W1248" s="8"/>
      <c r="X1248" s="8"/>
      <c r="Y1248" s="8"/>
      <c r="Z1248" s="8"/>
    </row>
    <row r="1249" spans="1:26" s="9" customFormat="1" ht="15.75">
      <c r="A1249" s="66" t="s">
        <v>795</v>
      </c>
      <c r="B1249" s="81"/>
      <c r="C1249" s="81"/>
      <c r="D1249" s="81"/>
      <c r="E1249" s="81"/>
      <c r="F1249" s="81"/>
      <c r="G1249" s="81"/>
      <c r="H1249" s="81"/>
      <c r="I1249" s="81"/>
      <c r="J1249" s="81"/>
      <c r="K1249" s="81"/>
      <c r="L1249" s="81"/>
      <c r="M1249" s="81"/>
      <c r="N1249" s="165"/>
      <c r="O1249" s="82"/>
      <c r="P1249" s="8"/>
      <c r="Q1249" s="8"/>
      <c r="R1249" s="8"/>
      <c r="S1249" s="8"/>
      <c r="T1249" s="8"/>
      <c r="U1249" s="8"/>
      <c r="V1249" s="8"/>
      <c r="W1249" s="8"/>
      <c r="X1249" s="8"/>
      <c r="Y1249" s="8"/>
      <c r="Z1249" s="8"/>
    </row>
    <row r="1250" spans="1:26" s="9" customFormat="1" ht="15.75">
      <c r="A1250" s="360" t="s">
        <v>675</v>
      </c>
      <c r="B1250" s="361">
        <v>2</v>
      </c>
      <c r="C1250" s="361">
        <v>2</v>
      </c>
      <c r="D1250" s="361">
        <v>1</v>
      </c>
      <c r="E1250" s="361">
        <v>0</v>
      </c>
      <c r="F1250" s="361">
        <v>1</v>
      </c>
      <c r="G1250" s="361">
        <v>4</v>
      </c>
      <c r="H1250" s="361">
        <v>4</v>
      </c>
      <c r="I1250" s="361">
        <v>0</v>
      </c>
      <c r="J1250" s="361">
        <v>1</v>
      </c>
      <c r="K1250" s="474">
        <v>2</v>
      </c>
      <c r="L1250" s="361">
        <v>3</v>
      </c>
      <c r="M1250" s="361">
        <v>3</v>
      </c>
      <c r="N1250" s="150">
        <f>SUM(B1250:M1250)</f>
        <v>23</v>
      </c>
      <c r="O1250" s="22">
        <f>IF(N1250=0,0,AVERAGE(B1250:M1250))</f>
        <v>1.9166666666666667</v>
      </c>
      <c r="P1250" s="8"/>
      <c r="Q1250" s="8"/>
      <c r="R1250" s="8"/>
      <c r="S1250" s="8"/>
      <c r="T1250" s="8"/>
      <c r="U1250" s="8"/>
      <c r="V1250" s="8"/>
      <c r="W1250" s="8"/>
      <c r="X1250" s="8"/>
      <c r="Y1250" s="8"/>
      <c r="Z1250" s="8"/>
    </row>
    <row r="1251" spans="1:26" s="9" customFormat="1" ht="15.75">
      <c r="A1251" s="360" t="s">
        <v>677</v>
      </c>
      <c r="B1251" s="361">
        <v>9</v>
      </c>
      <c r="C1251" s="361">
        <v>5</v>
      </c>
      <c r="D1251" s="361">
        <v>3</v>
      </c>
      <c r="E1251" s="361">
        <v>1</v>
      </c>
      <c r="F1251" s="361">
        <v>5</v>
      </c>
      <c r="G1251" s="361">
        <v>2</v>
      </c>
      <c r="H1251" s="361">
        <v>11</v>
      </c>
      <c r="I1251" s="361">
        <v>10</v>
      </c>
      <c r="J1251" s="361">
        <v>5</v>
      </c>
      <c r="K1251" s="474">
        <v>8</v>
      </c>
      <c r="L1251" s="361">
        <v>4</v>
      </c>
      <c r="M1251" s="361">
        <v>3</v>
      </c>
      <c r="N1251" s="150">
        <f t="shared" ref="N1251:N1259" si="1794">SUM(B1251:M1251)</f>
        <v>66</v>
      </c>
      <c r="O1251" s="22">
        <f t="shared" ref="O1251:O1259" si="1795">IF(N1251=0,0,AVERAGE(B1251:M1251))</f>
        <v>5.5</v>
      </c>
      <c r="P1251" s="8"/>
      <c r="Q1251" s="8"/>
      <c r="R1251" s="8"/>
      <c r="S1251" s="8"/>
      <c r="T1251" s="8"/>
      <c r="U1251" s="8"/>
      <c r="V1251" s="8"/>
      <c r="W1251" s="8"/>
      <c r="X1251" s="8"/>
      <c r="Y1251" s="8"/>
      <c r="Z1251" s="8"/>
    </row>
    <row r="1252" spans="1:26" s="9" customFormat="1" ht="15.75">
      <c r="A1252" s="360" t="s">
        <v>676</v>
      </c>
      <c r="B1252" s="361">
        <v>0</v>
      </c>
      <c r="C1252" s="361">
        <v>1</v>
      </c>
      <c r="D1252" s="361">
        <v>1</v>
      </c>
      <c r="E1252" s="361">
        <v>0</v>
      </c>
      <c r="F1252" s="361">
        <v>0</v>
      </c>
      <c r="G1252" s="361">
        <v>0</v>
      </c>
      <c r="H1252" s="361">
        <v>1</v>
      </c>
      <c r="I1252" s="361">
        <v>1</v>
      </c>
      <c r="J1252" s="361">
        <v>2</v>
      </c>
      <c r="K1252" s="361">
        <v>2</v>
      </c>
      <c r="L1252" s="361">
        <v>2</v>
      </c>
      <c r="M1252" s="361">
        <v>2</v>
      </c>
      <c r="N1252" s="150">
        <f t="shared" si="1794"/>
        <v>12</v>
      </c>
      <c r="O1252" s="22">
        <f t="shared" si="1795"/>
        <v>1</v>
      </c>
      <c r="P1252" s="8"/>
      <c r="Q1252" s="8"/>
      <c r="R1252" s="8"/>
      <c r="S1252" s="8"/>
      <c r="T1252" s="8"/>
      <c r="U1252" s="8"/>
      <c r="V1252" s="8"/>
      <c r="W1252" s="8"/>
      <c r="X1252" s="8"/>
      <c r="Y1252" s="8"/>
      <c r="Z1252" s="8"/>
    </row>
    <row r="1253" spans="1:26" s="9" customFormat="1" ht="15.75">
      <c r="A1253" s="360" t="s">
        <v>678</v>
      </c>
      <c r="B1253" s="361">
        <v>3</v>
      </c>
      <c r="C1253" s="361">
        <v>1</v>
      </c>
      <c r="D1253" s="361">
        <v>2</v>
      </c>
      <c r="E1253" s="361">
        <v>0</v>
      </c>
      <c r="F1253" s="361">
        <v>0</v>
      </c>
      <c r="G1253" s="361">
        <v>1</v>
      </c>
      <c r="H1253" s="361">
        <v>3</v>
      </c>
      <c r="I1253" s="361">
        <v>2</v>
      </c>
      <c r="J1253" s="361">
        <v>2</v>
      </c>
      <c r="K1253" s="361">
        <v>1</v>
      </c>
      <c r="L1253" s="361">
        <v>2</v>
      </c>
      <c r="M1253" s="361">
        <v>1</v>
      </c>
      <c r="N1253" s="150">
        <f t="shared" si="1794"/>
        <v>18</v>
      </c>
      <c r="O1253" s="22">
        <f t="shared" si="1795"/>
        <v>1.5</v>
      </c>
      <c r="P1253" s="8"/>
      <c r="Q1253" s="8"/>
      <c r="R1253" s="8"/>
      <c r="S1253" s="8"/>
      <c r="T1253" s="8"/>
      <c r="U1253" s="8"/>
      <c r="V1253" s="8"/>
      <c r="W1253" s="8"/>
      <c r="X1253" s="8"/>
      <c r="Y1253" s="8"/>
      <c r="Z1253" s="8"/>
    </row>
    <row r="1254" spans="1:26" s="9" customFormat="1" ht="15.75">
      <c r="A1254" s="360" t="s">
        <v>411</v>
      </c>
      <c r="B1254" s="361">
        <v>1</v>
      </c>
      <c r="C1254" s="361">
        <v>1</v>
      </c>
      <c r="D1254" s="361">
        <v>1</v>
      </c>
      <c r="E1254" s="361">
        <v>0</v>
      </c>
      <c r="F1254" s="361">
        <v>0</v>
      </c>
      <c r="G1254" s="361">
        <v>0</v>
      </c>
      <c r="H1254" s="361">
        <v>1</v>
      </c>
      <c r="I1254" s="361">
        <v>0</v>
      </c>
      <c r="J1254" s="361">
        <v>0</v>
      </c>
      <c r="K1254" s="361">
        <v>0</v>
      </c>
      <c r="L1254" s="361">
        <v>1</v>
      </c>
      <c r="M1254" s="361">
        <v>0</v>
      </c>
      <c r="N1254" s="150">
        <f t="shared" si="1794"/>
        <v>5</v>
      </c>
      <c r="O1254" s="22">
        <f t="shared" si="1795"/>
        <v>0.41666666666666669</v>
      </c>
      <c r="P1254" s="8"/>
      <c r="Q1254" s="8"/>
      <c r="R1254" s="8"/>
      <c r="S1254" s="8"/>
      <c r="T1254" s="8"/>
      <c r="U1254" s="8"/>
      <c r="V1254" s="8"/>
      <c r="W1254" s="8"/>
      <c r="X1254" s="8"/>
      <c r="Y1254" s="8"/>
      <c r="Z1254" s="8"/>
    </row>
    <row r="1255" spans="1:26" s="9" customFormat="1" ht="15.75">
      <c r="A1255" s="360" t="s">
        <v>159</v>
      </c>
      <c r="B1255" s="361">
        <v>5</v>
      </c>
      <c r="C1255" s="361">
        <v>3</v>
      </c>
      <c r="D1255" s="361">
        <v>1</v>
      </c>
      <c r="E1255" s="361">
        <v>4</v>
      </c>
      <c r="F1255" s="361">
        <v>1</v>
      </c>
      <c r="G1255" s="361">
        <v>3</v>
      </c>
      <c r="H1255" s="361">
        <v>2</v>
      </c>
      <c r="I1255" s="361">
        <v>1</v>
      </c>
      <c r="J1255" s="361">
        <v>3</v>
      </c>
      <c r="K1255" s="361">
        <v>2</v>
      </c>
      <c r="L1255" s="361">
        <v>2</v>
      </c>
      <c r="M1255" s="361">
        <v>3</v>
      </c>
      <c r="N1255" s="150">
        <f t="shared" si="1794"/>
        <v>30</v>
      </c>
      <c r="O1255" s="22">
        <f t="shared" si="1795"/>
        <v>2.5</v>
      </c>
      <c r="P1255" s="8"/>
      <c r="Q1255" s="8"/>
      <c r="R1255" s="8"/>
      <c r="S1255" s="8"/>
      <c r="T1255" s="8"/>
      <c r="U1255" s="8"/>
      <c r="V1255" s="8"/>
      <c r="W1255" s="8"/>
      <c r="X1255" s="8"/>
      <c r="Y1255" s="8"/>
      <c r="Z1255" s="8"/>
    </row>
    <row r="1256" spans="1:26" s="9" customFormat="1" ht="15.75">
      <c r="A1256" s="360" t="s">
        <v>679</v>
      </c>
      <c r="B1256" s="361">
        <v>2</v>
      </c>
      <c r="C1256" s="361">
        <v>5</v>
      </c>
      <c r="D1256" s="361">
        <v>4</v>
      </c>
      <c r="E1256" s="361">
        <v>2</v>
      </c>
      <c r="F1256" s="361">
        <v>6</v>
      </c>
      <c r="G1256" s="361">
        <v>5</v>
      </c>
      <c r="H1256" s="361">
        <v>2</v>
      </c>
      <c r="I1256" s="361">
        <v>7</v>
      </c>
      <c r="J1256" s="361">
        <v>2</v>
      </c>
      <c r="K1256" s="361">
        <v>5</v>
      </c>
      <c r="L1256" s="361">
        <v>9</v>
      </c>
      <c r="M1256" s="361">
        <v>2</v>
      </c>
      <c r="N1256" s="150">
        <f t="shared" si="1794"/>
        <v>51</v>
      </c>
      <c r="O1256" s="22">
        <f t="shared" si="1795"/>
        <v>4.25</v>
      </c>
      <c r="P1256" s="8"/>
      <c r="Q1256" s="8"/>
      <c r="R1256" s="8"/>
      <c r="S1256" s="8"/>
      <c r="T1256" s="8"/>
      <c r="U1256" s="8"/>
      <c r="V1256" s="8"/>
      <c r="W1256" s="8"/>
      <c r="X1256" s="8"/>
      <c r="Y1256" s="8"/>
      <c r="Z1256" s="8"/>
    </row>
    <row r="1257" spans="1:26" s="9" customFormat="1" ht="15.75">
      <c r="A1257" s="360" t="s">
        <v>680</v>
      </c>
      <c r="B1257" s="361">
        <v>2</v>
      </c>
      <c r="C1257" s="361">
        <v>2</v>
      </c>
      <c r="D1257" s="361">
        <v>4</v>
      </c>
      <c r="E1257" s="361">
        <v>6</v>
      </c>
      <c r="F1257" s="361">
        <v>0</v>
      </c>
      <c r="G1257" s="361">
        <v>3</v>
      </c>
      <c r="H1257" s="361">
        <v>0</v>
      </c>
      <c r="I1257" s="361">
        <v>2</v>
      </c>
      <c r="J1257" s="361">
        <v>3</v>
      </c>
      <c r="K1257" s="361">
        <v>3</v>
      </c>
      <c r="L1257" s="361">
        <v>3</v>
      </c>
      <c r="M1257" s="361">
        <v>1</v>
      </c>
      <c r="N1257" s="150">
        <f t="shared" si="1794"/>
        <v>29</v>
      </c>
      <c r="O1257" s="22">
        <f t="shared" si="1795"/>
        <v>2.4166666666666665</v>
      </c>
      <c r="P1257" s="8"/>
      <c r="Q1257" s="8"/>
      <c r="R1257" s="8"/>
      <c r="S1257" s="8"/>
      <c r="T1257" s="8"/>
      <c r="U1257" s="8"/>
      <c r="V1257" s="8"/>
      <c r="W1257" s="8"/>
      <c r="X1257" s="8"/>
      <c r="Y1257" s="8"/>
      <c r="Z1257" s="8"/>
    </row>
    <row r="1258" spans="1:26" s="9" customFormat="1" ht="15.75">
      <c r="A1258" s="360" t="s">
        <v>681</v>
      </c>
      <c r="B1258" s="361">
        <v>7</v>
      </c>
      <c r="C1258" s="361">
        <v>9</v>
      </c>
      <c r="D1258" s="361">
        <v>6</v>
      </c>
      <c r="E1258" s="361">
        <v>2</v>
      </c>
      <c r="F1258" s="361">
        <v>5</v>
      </c>
      <c r="G1258" s="361">
        <v>2</v>
      </c>
      <c r="H1258" s="361">
        <v>3</v>
      </c>
      <c r="I1258" s="361">
        <v>4</v>
      </c>
      <c r="J1258" s="361">
        <v>10</v>
      </c>
      <c r="K1258" s="361">
        <v>5</v>
      </c>
      <c r="L1258" s="361">
        <v>7</v>
      </c>
      <c r="M1258" s="361">
        <v>0</v>
      </c>
      <c r="N1258" s="150">
        <f t="shared" si="1794"/>
        <v>60</v>
      </c>
      <c r="O1258" s="22">
        <f t="shared" si="1795"/>
        <v>5</v>
      </c>
      <c r="P1258" s="8"/>
      <c r="Q1258" s="8"/>
      <c r="R1258" s="8"/>
      <c r="S1258" s="8"/>
      <c r="T1258" s="8"/>
      <c r="U1258" s="8"/>
      <c r="V1258" s="8"/>
      <c r="W1258" s="8"/>
      <c r="X1258" s="8"/>
      <c r="Y1258" s="8"/>
      <c r="Z1258" s="8"/>
    </row>
    <row r="1259" spans="1:26" s="9" customFormat="1" ht="15.75">
      <c r="A1259" s="360" t="s">
        <v>682</v>
      </c>
      <c r="B1259" s="361">
        <v>5</v>
      </c>
      <c r="C1259" s="361">
        <v>6</v>
      </c>
      <c r="D1259" s="361">
        <v>8</v>
      </c>
      <c r="E1259" s="361">
        <v>6</v>
      </c>
      <c r="F1259" s="361">
        <v>5</v>
      </c>
      <c r="G1259" s="361">
        <v>4</v>
      </c>
      <c r="H1259" s="361">
        <v>6</v>
      </c>
      <c r="I1259" s="361">
        <v>3</v>
      </c>
      <c r="J1259" s="361">
        <v>6</v>
      </c>
      <c r="K1259" s="361">
        <v>2</v>
      </c>
      <c r="L1259" s="361">
        <v>9</v>
      </c>
      <c r="M1259" s="361">
        <v>2</v>
      </c>
      <c r="N1259" s="150">
        <f t="shared" si="1794"/>
        <v>62</v>
      </c>
      <c r="O1259" s="22">
        <f t="shared" si="1795"/>
        <v>5.166666666666667</v>
      </c>
      <c r="P1259" s="8"/>
      <c r="Q1259" s="8"/>
      <c r="R1259" s="8"/>
      <c r="S1259" s="8"/>
      <c r="T1259" s="8"/>
      <c r="U1259" s="8"/>
      <c r="V1259" s="8"/>
      <c r="W1259" s="8"/>
      <c r="X1259" s="8"/>
      <c r="Y1259" s="8"/>
      <c r="Z1259" s="8"/>
    </row>
    <row r="1260" spans="1:26" s="9" customFormat="1" ht="15.75">
      <c r="A1260" s="360" t="s">
        <v>22</v>
      </c>
      <c r="B1260" s="361">
        <v>0</v>
      </c>
      <c r="C1260" s="361">
        <v>0</v>
      </c>
      <c r="D1260" s="361">
        <v>0</v>
      </c>
      <c r="E1260" s="361">
        <v>0</v>
      </c>
      <c r="F1260" s="361">
        <v>0</v>
      </c>
      <c r="G1260" s="361">
        <v>0</v>
      </c>
      <c r="H1260" s="361">
        <v>0</v>
      </c>
      <c r="I1260" s="361">
        <v>0</v>
      </c>
      <c r="J1260" s="361">
        <v>0</v>
      </c>
      <c r="K1260" s="361">
        <v>2</v>
      </c>
      <c r="L1260" s="361">
        <v>0</v>
      </c>
      <c r="M1260" s="361">
        <v>0</v>
      </c>
      <c r="N1260" s="150">
        <f t="shared" ref="N1260" si="1796">SUM(B1260:M1260)</f>
        <v>2</v>
      </c>
      <c r="O1260" s="22">
        <f t="shared" ref="O1260" si="1797">IF(N1260=0,0,AVERAGE(B1260:M1260))</f>
        <v>0.16666666666666666</v>
      </c>
      <c r="P1260" s="8"/>
      <c r="Q1260" s="8"/>
      <c r="R1260" s="8"/>
      <c r="S1260" s="8"/>
      <c r="T1260" s="8"/>
      <c r="U1260" s="8"/>
      <c r="V1260" s="8"/>
      <c r="W1260" s="8"/>
      <c r="X1260" s="8"/>
      <c r="Y1260" s="8"/>
      <c r="Z1260" s="8"/>
    </row>
    <row r="1261" spans="1:26" s="9" customFormat="1" ht="15.75">
      <c r="A1261" s="62" t="s">
        <v>21</v>
      </c>
      <c r="B1261" s="24">
        <f t="shared" ref="B1261:G1261" si="1798">SUM(B1250:B1260)</f>
        <v>36</v>
      </c>
      <c r="C1261" s="24">
        <f t="shared" si="1798"/>
        <v>35</v>
      </c>
      <c r="D1261" s="24">
        <f t="shared" si="1798"/>
        <v>31</v>
      </c>
      <c r="E1261" s="24">
        <f t="shared" si="1798"/>
        <v>21</v>
      </c>
      <c r="F1261" s="24">
        <f t="shared" si="1798"/>
        <v>23</v>
      </c>
      <c r="G1261" s="24">
        <f t="shared" si="1798"/>
        <v>24</v>
      </c>
      <c r="H1261" s="24">
        <f t="shared" ref="H1261:I1261" si="1799">SUM(H1250:H1260)</f>
        <v>33</v>
      </c>
      <c r="I1261" s="24">
        <f t="shared" si="1799"/>
        <v>30</v>
      </c>
      <c r="J1261" s="24">
        <f t="shared" ref="J1261:K1261" si="1800">SUM(J1250:J1260)</f>
        <v>34</v>
      </c>
      <c r="K1261" s="24">
        <f t="shared" si="1800"/>
        <v>32</v>
      </c>
      <c r="L1261" s="24">
        <f t="shared" ref="L1261:M1261" si="1801">SUM(L1250:L1260)</f>
        <v>42</v>
      </c>
      <c r="M1261" s="24">
        <f t="shared" si="1801"/>
        <v>17</v>
      </c>
      <c r="N1261" s="144">
        <f>SUM(N1246:N1259)</f>
        <v>493.35752688172045</v>
      </c>
      <c r="O1261" s="25">
        <f>SUM(O1246:O1259)</f>
        <v>41.11312724014337</v>
      </c>
      <c r="P1261" s="8"/>
      <c r="Q1261" s="8"/>
      <c r="R1261" s="8"/>
      <c r="S1261" s="8"/>
      <c r="T1261" s="8"/>
      <c r="U1261" s="8"/>
      <c r="V1261" s="8"/>
      <c r="W1261" s="8"/>
      <c r="X1261" s="8"/>
      <c r="Y1261" s="8"/>
      <c r="Z1261" s="8"/>
    </row>
    <row r="1262" spans="1:26" s="9" customFormat="1" ht="15.75">
      <c r="A1262" s="62" t="s">
        <v>112</v>
      </c>
      <c r="B1262" s="25">
        <f t="shared" ref="B1262:G1262" si="1802">IF(B1261=0,"",B1261/B$1870)</f>
        <v>1.1612903225806452</v>
      </c>
      <c r="C1262" s="25">
        <f t="shared" si="1802"/>
        <v>1.25</v>
      </c>
      <c r="D1262" s="25">
        <f t="shared" si="1802"/>
        <v>1</v>
      </c>
      <c r="E1262" s="25">
        <f t="shared" si="1802"/>
        <v>0.7</v>
      </c>
      <c r="F1262" s="25">
        <f t="shared" si="1802"/>
        <v>0.74193548387096775</v>
      </c>
      <c r="G1262" s="25">
        <f t="shared" si="1802"/>
        <v>0.8</v>
      </c>
      <c r="H1262" s="25">
        <f t="shared" ref="H1262:I1262" si="1803">IF(H1261=0,"",H1261/H$1870)</f>
        <v>1.064516129032258</v>
      </c>
      <c r="I1262" s="25">
        <f t="shared" si="1803"/>
        <v>0.967741935483871</v>
      </c>
      <c r="J1262" s="25">
        <f t="shared" ref="J1262:K1262" si="1804">IF(J1261=0,"",J1261/J$1870)</f>
        <v>1.1333333333333333</v>
      </c>
      <c r="K1262" s="25">
        <f t="shared" si="1804"/>
        <v>1.032258064516129</v>
      </c>
      <c r="L1262" s="25">
        <f t="shared" ref="L1262:M1262" si="1805">IF(L1261=0,"",L1261/L$1870)</f>
        <v>1.4</v>
      </c>
      <c r="M1262" s="25">
        <f t="shared" si="1805"/>
        <v>0.54838709677419351</v>
      </c>
      <c r="N1262" s="144">
        <f>SUM(B1262:M1262)</f>
        <v>11.799462365591399</v>
      </c>
      <c r="O1262" s="25">
        <f>IF(N1262=0,0,AVERAGE(B1262:M1262))</f>
        <v>0.98328853046594988</v>
      </c>
      <c r="P1262" s="8"/>
      <c r="Q1262" s="8"/>
      <c r="R1262" s="8"/>
      <c r="S1262" s="8"/>
      <c r="T1262" s="8"/>
      <c r="U1262" s="8"/>
      <c r="V1262" s="8"/>
      <c r="W1262" s="8"/>
      <c r="X1262" s="8"/>
      <c r="Y1262" s="8"/>
      <c r="Z1262" s="8"/>
    </row>
    <row r="1263" spans="1:26" s="9" customFormat="1">
      <c r="P1263" s="8"/>
      <c r="Q1263" s="8"/>
      <c r="R1263" s="8"/>
      <c r="S1263" s="8"/>
      <c r="T1263" s="8"/>
      <c r="U1263" s="8"/>
      <c r="V1263" s="8"/>
      <c r="W1263" s="8"/>
      <c r="X1263" s="8"/>
      <c r="Y1263" s="8"/>
      <c r="Z1263" s="8"/>
    </row>
    <row r="1264" spans="1:26" s="9" customFormat="1" ht="15.75">
      <c r="A1264" s="66" t="s">
        <v>796</v>
      </c>
      <c r="B1264" s="18"/>
      <c r="C1264" s="18"/>
      <c r="D1264" s="18"/>
      <c r="E1264" s="18"/>
      <c r="F1264" s="18"/>
      <c r="G1264" s="18"/>
      <c r="H1264" s="18"/>
      <c r="I1264" s="18"/>
      <c r="J1264" s="18"/>
      <c r="K1264" s="18"/>
      <c r="L1264" s="18"/>
      <c r="M1264" s="18"/>
      <c r="N1264" s="149"/>
      <c r="O1264" s="19"/>
      <c r="P1264" s="8"/>
      <c r="Q1264" s="8"/>
      <c r="R1264" s="8"/>
      <c r="S1264" s="8"/>
      <c r="T1264" s="8"/>
      <c r="U1264" s="8"/>
      <c r="V1264" s="8"/>
      <c r="W1264" s="8"/>
      <c r="X1264" s="8"/>
      <c r="Y1264" s="8"/>
      <c r="Z1264" s="8"/>
    </row>
    <row r="1265" spans="1:26" s="9" customFormat="1" ht="15.75">
      <c r="A1265" s="104" t="s">
        <v>114</v>
      </c>
      <c r="B1265" s="105">
        <f t="shared" ref="B1265:G1265" si="1806">B1261</f>
        <v>36</v>
      </c>
      <c r="C1265" s="105">
        <f t="shared" si="1806"/>
        <v>35</v>
      </c>
      <c r="D1265" s="105">
        <f t="shared" si="1806"/>
        <v>31</v>
      </c>
      <c r="E1265" s="105">
        <f t="shared" si="1806"/>
        <v>21</v>
      </c>
      <c r="F1265" s="105">
        <f t="shared" si="1806"/>
        <v>23</v>
      </c>
      <c r="G1265" s="105">
        <f t="shared" si="1806"/>
        <v>24</v>
      </c>
      <c r="H1265" s="105">
        <f t="shared" ref="H1265:I1265" si="1807">H1261</f>
        <v>33</v>
      </c>
      <c r="I1265" s="105">
        <f t="shared" si="1807"/>
        <v>30</v>
      </c>
      <c r="J1265" s="105">
        <f t="shared" ref="J1265:L1265" si="1808">J1261</f>
        <v>34</v>
      </c>
      <c r="K1265" s="105">
        <f t="shared" si="1808"/>
        <v>32</v>
      </c>
      <c r="L1265" s="105">
        <f t="shared" si="1808"/>
        <v>42</v>
      </c>
      <c r="M1265" s="105">
        <f t="shared" ref="M1265" si="1809">M1261</f>
        <v>17</v>
      </c>
      <c r="N1265" s="150">
        <f>SUM(B1265:M1265)</f>
        <v>358</v>
      </c>
      <c r="O1265" s="22">
        <f>IF(N1265=0,0,AVERAGE(B1265:M1265))</f>
        <v>29.833333333333332</v>
      </c>
      <c r="P1265" s="8"/>
      <c r="Q1265" s="8"/>
      <c r="R1265" s="8"/>
      <c r="S1265" s="8"/>
      <c r="T1265" s="8"/>
      <c r="U1265" s="8"/>
      <c r="V1265" s="8"/>
      <c r="W1265" s="8"/>
      <c r="X1265" s="8"/>
      <c r="Y1265" s="8"/>
      <c r="Z1265" s="8"/>
    </row>
    <row r="1266" spans="1:26" s="9" customFormat="1" ht="15.75">
      <c r="A1266" s="62" t="s">
        <v>21</v>
      </c>
      <c r="B1266" s="24">
        <f t="shared" ref="B1266:C1266" si="1810">SUM(B1265)</f>
        <v>36</v>
      </c>
      <c r="C1266" s="24">
        <f t="shared" si="1810"/>
        <v>35</v>
      </c>
      <c r="D1266" s="24">
        <f t="shared" ref="D1266:E1266" si="1811">SUM(D1265)</f>
        <v>31</v>
      </c>
      <c r="E1266" s="24">
        <f t="shared" si="1811"/>
        <v>21</v>
      </c>
      <c r="F1266" s="24">
        <f t="shared" ref="F1266:G1266" si="1812">SUM(F1265)</f>
        <v>23</v>
      </c>
      <c r="G1266" s="24">
        <f t="shared" si="1812"/>
        <v>24</v>
      </c>
      <c r="H1266" s="24">
        <f t="shared" ref="H1266:I1266" si="1813">SUM(H1265)</f>
        <v>33</v>
      </c>
      <c r="I1266" s="24">
        <f t="shared" si="1813"/>
        <v>30</v>
      </c>
      <c r="J1266" s="24">
        <f t="shared" ref="J1266:K1266" si="1814">SUM(J1265)</f>
        <v>34</v>
      </c>
      <c r="K1266" s="24">
        <f t="shared" si="1814"/>
        <v>32</v>
      </c>
      <c r="L1266" s="24">
        <f t="shared" ref="L1266:M1266" si="1815">SUM(L1265)</f>
        <v>42</v>
      </c>
      <c r="M1266" s="24">
        <f t="shared" si="1815"/>
        <v>17</v>
      </c>
      <c r="N1266" s="144">
        <f>SUM(N1265)</f>
        <v>358</v>
      </c>
      <c r="O1266" s="25">
        <f>SUM(O1265)</f>
        <v>29.833333333333332</v>
      </c>
      <c r="P1266" s="8"/>
      <c r="Q1266" s="8"/>
      <c r="R1266" s="8"/>
      <c r="S1266" s="8"/>
      <c r="T1266" s="8"/>
      <c r="U1266" s="8"/>
      <c r="V1266" s="8"/>
      <c r="W1266" s="8"/>
      <c r="X1266" s="8"/>
      <c r="Y1266" s="8"/>
      <c r="Z1266" s="8"/>
    </row>
    <row r="1267" spans="1:26" s="9" customFormat="1" ht="15.75">
      <c r="A1267" s="62" t="s">
        <v>112</v>
      </c>
      <c r="B1267" s="25">
        <f t="shared" ref="B1267:G1267" si="1816">IF(B1266=0,"",B1266/B$1870)</f>
        <v>1.1612903225806452</v>
      </c>
      <c r="C1267" s="25">
        <f t="shared" si="1816"/>
        <v>1.25</v>
      </c>
      <c r="D1267" s="25">
        <f t="shared" si="1816"/>
        <v>1</v>
      </c>
      <c r="E1267" s="25">
        <f t="shared" si="1816"/>
        <v>0.7</v>
      </c>
      <c r="F1267" s="25">
        <f t="shared" si="1816"/>
        <v>0.74193548387096775</v>
      </c>
      <c r="G1267" s="25">
        <f t="shared" si="1816"/>
        <v>0.8</v>
      </c>
      <c r="H1267" s="25">
        <f t="shared" ref="H1267:I1267" si="1817">IF(H1266=0,"",H1266/H$1870)</f>
        <v>1.064516129032258</v>
      </c>
      <c r="I1267" s="25">
        <f t="shared" si="1817"/>
        <v>0.967741935483871</v>
      </c>
      <c r="J1267" s="25">
        <f t="shared" ref="J1267:K1267" si="1818">IF(J1266=0,"",J1266/J$1870)</f>
        <v>1.1333333333333333</v>
      </c>
      <c r="K1267" s="25">
        <f t="shared" si="1818"/>
        <v>1.032258064516129</v>
      </c>
      <c r="L1267" s="25">
        <f t="shared" ref="L1267:M1267" si="1819">IF(L1266=0,"",L1266/L$1870)</f>
        <v>1.4</v>
      </c>
      <c r="M1267" s="25">
        <f t="shared" si="1819"/>
        <v>0.54838709677419351</v>
      </c>
      <c r="N1267" s="144">
        <f>SUM(B1267:M1267)</f>
        <v>11.799462365591399</v>
      </c>
      <c r="O1267" s="25">
        <f>IF(N1267=0,0,AVERAGE(B1267:M1267))</f>
        <v>0.98328853046594988</v>
      </c>
      <c r="P1267" s="8"/>
      <c r="Q1267" s="8"/>
      <c r="R1267" s="8"/>
      <c r="S1267" s="8"/>
      <c r="T1267" s="8"/>
      <c r="U1267" s="8"/>
      <c r="V1267" s="8"/>
      <c r="W1267" s="8"/>
      <c r="X1267" s="8"/>
      <c r="Y1267" s="8"/>
      <c r="Z1267" s="8"/>
    </row>
    <row r="1268" spans="1:26" s="9" customFormat="1" ht="15.75">
      <c r="A1268" s="101"/>
      <c r="B1268" s="27"/>
      <c r="C1268" s="27"/>
      <c r="D1268" s="27"/>
      <c r="E1268" s="27"/>
      <c r="F1268" s="27"/>
      <c r="G1268" s="27"/>
      <c r="H1268" s="27"/>
      <c r="I1268" s="27"/>
      <c r="J1268" s="28"/>
      <c r="K1268" s="28"/>
      <c r="L1268" s="28"/>
      <c r="M1268" s="28"/>
      <c r="N1268" s="151"/>
      <c r="O1268" s="57"/>
      <c r="P1268" s="8"/>
      <c r="Q1268" s="8"/>
      <c r="R1268" s="8"/>
      <c r="S1268" s="8"/>
      <c r="T1268" s="8"/>
      <c r="U1268" s="8"/>
      <c r="V1268" s="8"/>
      <c r="W1268" s="8"/>
      <c r="X1268" s="8"/>
      <c r="Y1268" s="8"/>
      <c r="Z1268" s="8"/>
    </row>
    <row r="1269" spans="1:26" s="9" customFormat="1" ht="15.75">
      <c r="A1269" s="91" t="s">
        <v>153</v>
      </c>
      <c r="B1269" s="92">
        <f t="shared" ref="B1269:G1269" si="1820">B1246</f>
        <v>9</v>
      </c>
      <c r="C1269" s="92">
        <f t="shared" si="1820"/>
        <v>7</v>
      </c>
      <c r="D1269" s="92">
        <f t="shared" si="1820"/>
        <v>7</v>
      </c>
      <c r="E1269" s="92">
        <f t="shared" si="1820"/>
        <v>6</v>
      </c>
      <c r="F1269" s="92">
        <f t="shared" si="1820"/>
        <v>12</v>
      </c>
      <c r="G1269" s="92">
        <f t="shared" si="1820"/>
        <v>17</v>
      </c>
      <c r="H1269" s="92">
        <f t="shared" ref="H1269:I1269" si="1821">H1246</f>
        <v>22</v>
      </c>
      <c r="I1269" s="92">
        <f t="shared" si="1821"/>
        <v>23</v>
      </c>
      <c r="J1269" s="92">
        <f t="shared" ref="J1269:K1269" si="1822">J1246</f>
        <v>8</v>
      </c>
      <c r="K1269" s="92">
        <f t="shared" si="1822"/>
        <v>10</v>
      </c>
      <c r="L1269" s="92">
        <f t="shared" ref="L1269:M1269" si="1823">L1246</f>
        <v>9</v>
      </c>
      <c r="M1269" s="92">
        <f t="shared" si="1823"/>
        <v>3</v>
      </c>
      <c r="N1269" s="150">
        <f>SUM(B1269:M1269)</f>
        <v>133</v>
      </c>
      <c r="O1269" s="22">
        <f>IF(N1269=0,0,AVERAGE(B1269:M1269))</f>
        <v>11.083333333333334</v>
      </c>
      <c r="P1269" s="8"/>
      <c r="Q1269" s="8"/>
      <c r="R1269" s="8"/>
      <c r="S1269" s="8"/>
      <c r="T1269" s="8"/>
      <c r="U1269" s="8"/>
      <c r="V1269" s="8"/>
      <c r="W1269" s="8"/>
      <c r="X1269" s="8"/>
      <c r="Y1269" s="8"/>
      <c r="Z1269" s="8"/>
    </row>
    <row r="1270" spans="1:26" s="9" customFormat="1" ht="15.75">
      <c r="A1270" s="91" t="s">
        <v>154</v>
      </c>
      <c r="B1270" s="92">
        <f t="shared" ref="B1270:G1270" si="1824">B1266</f>
        <v>36</v>
      </c>
      <c r="C1270" s="92">
        <f t="shared" si="1824"/>
        <v>35</v>
      </c>
      <c r="D1270" s="92">
        <f t="shared" si="1824"/>
        <v>31</v>
      </c>
      <c r="E1270" s="92">
        <f t="shared" si="1824"/>
        <v>21</v>
      </c>
      <c r="F1270" s="92">
        <f t="shared" si="1824"/>
        <v>23</v>
      </c>
      <c r="G1270" s="92">
        <f t="shared" si="1824"/>
        <v>24</v>
      </c>
      <c r="H1270" s="92">
        <f t="shared" ref="H1270:I1270" si="1825">H1266</f>
        <v>33</v>
      </c>
      <c r="I1270" s="92">
        <f t="shared" si="1825"/>
        <v>30</v>
      </c>
      <c r="J1270" s="92">
        <f t="shared" ref="J1270:K1270" si="1826">J1266</f>
        <v>34</v>
      </c>
      <c r="K1270" s="92">
        <f t="shared" si="1826"/>
        <v>32</v>
      </c>
      <c r="L1270" s="92">
        <f t="shared" ref="L1270:M1270" si="1827">L1266</f>
        <v>42</v>
      </c>
      <c r="M1270" s="92">
        <f t="shared" si="1827"/>
        <v>17</v>
      </c>
      <c r="N1270" s="150">
        <f>SUM(B1270:M1270)</f>
        <v>358</v>
      </c>
      <c r="O1270" s="22">
        <f>IF(N1270=0,0,AVERAGE(B1270:M1270))</f>
        <v>29.833333333333332</v>
      </c>
      <c r="P1270" s="8"/>
      <c r="Q1270" s="8"/>
      <c r="R1270" s="8"/>
      <c r="S1270" s="8"/>
      <c r="T1270" s="8"/>
      <c r="U1270" s="8"/>
      <c r="V1270" s="8"/>
      <c r="W1270" s="8"/>
      <c r="X1270" s="8"/>
      <c r="Y1270" s="8"/>
      <c r="Z1270" s="8"/>
    </row>
    <row r="1271" spans="1:26" s="9" customFormat="1" ht="15.75">
      <c r="A1271" s="381" t="s">
        <v>155</v>
      </c>
      <c r="B1271" s="372">
        <f t="shared" ref="B1271:C1271" si="1828">SUM(B1269:B1270)</f>
        <v>45</v>
      </c>
      <c r="C1271" s="372">
        <f t="shared" si="1828"/>
        <v>42</v>
      </c>
      <c r="D1271" s="372">
        <f t="shared" ref="D1271:E1271" si="1829">SUM(D1269:D1270)</f>
        <v>38</v>
      </c>
      <c r="E1271" s="372">
        <f t="shared" si="1829"/>
        <v>27</v>
      </c>
      <c r="F1271" s="372">
        <f t="shared" ref="F1271:G1271" si="1830">SUM(F1269:F1270)</f>
        <v>35</v>
      </c>
      <c r="G1271" s="372">
        <f t="shared" si="1830"/>
        <v>41</v>
      </c>
      <c r="H1271" s="372">
        <f t="shared" ref="H1271:I1271" si="1831">SUM(H1269:H1270)</f>
        <v>55</v>
      </c>
      <c r="I1271" s="372">
        <f t="shared" si="1831"/>
        <v>53</v>
      </c>
      <c r="J1271" s="372">
        <f t="shared" ref="J1271:K1271" si="1832">SUM(J1269:J1270)</f>
        <v>42</v>
      </c>
      <c r="K1271" s="372">
        <f t="shared" si="1832"/>
        <v>42</v>
      </c>
      <c r="L1271" s="372">
        <f t="shared" ref="L1271:M1271" si="1833">SUM(L1269:L1270)</f>
        <v>51</v>
      </c>
      <c r="M1271" s="372">
        <f t="shared" si="1833"/>
        <v>20</v>
      </c>
      <c r="N1271" s="373">
        <f>SUM(N1269:N1270)</f>
        <v>491</v>
      </c>
      <c r="O1271" s="374">
        <f>SUM(O1269:O1270)</f>
        <v>40.916666666666664</v>
      </c>
      <c r="P1271" s="8"/>
      <c r="Q1271" s="8"/>
      <c r="R1271" s="8"/>
      <c r="S1271" s="8"/>
      <c r="T1271" s="8"/>
      <c r="U1271" s="8"/>
      <c r="V1271" s="8"/>
      <c r="W1271" s="8"/>
      <c r="X1271" s="8"/>
      <c r="Y1271" s="8"/>
      <c r="Z1271" s="8"/>
    </row>
    <row r="1272" spans="1:26" s="9" customFormat="1" ht="15.75">
      <c r="A1272" s="88"/>
      <c r="B1272" s="89"/>
      <c r="C1272" s="89"/>
      <c r="D1272" s="89"/>
      <c r="E1272" s="89"/>
      <c r="F1272" s="89"/>
      <c r="G1272" s="89"/>
      <c r="H1272" s="89"/>
      <c r="I1272" s="89"/>
      <c r="J1272" s="89"/>
      <c r="K1272" s="89"/>
      <c r="L1272" s="89"/>
      <c r="M1272" s="89"/>
      <c r="N1272" s="167"/>
      <c r="O1272" s="90"/>
      <c r="P1272" s="8"/>
      <c r="Q1272" s="8"/>
      <c r="R1272" s="8"/>
      <c r="S1272" s="8"/>
      <c r="T1272" s="8"/>
      <c r="U1272" s="8"/>
      <c r="V1272" s="8"/>
      <c r="W1272" s="8"/>
      <c r="X1272" s="8"/>
      <c r="Y1272" s="8"/>
      <c r="Z1272" s="8"/>
    </row>
    <row r="1273" spans="1:26" s="9" customFormat="1" ht="15.75">
      <c r="A1273" s="17" t="s">
        <v>620</v>
      </c>
      <c r="B1273" s="18"/>
      <c r="C1273" s="18"/>
      <c r="D1273" s="18"/>
      <c r="E1273" s="18"/>
      <c r="F1273" s="18"/>
      <c r="G1273" s="18"/>
      <c r="H1273" s="18"/>
      <c r="I1273" s="18"/>
      <c r="J1273" s="18"/>
      <c r="K1273" s="18"/>
      <c r="L1273" s="18"/>
      <c r="M1273" s="18"/>
      <c r="N1273" s="149"/>
      <c r="O1273" s="19"/>
      <c r="P1273" s="8"/>
      <c r="Q1273" s="8"/>
      <c r="R1273" s="8"/>
      <c r="S1273" s="8"/>
      <c r="T1273" s="8"/>
      <c r="U1273" s="8"/>
      <c r="V1273" s="8"/>
      <c r="W1273" s="8"/>
      <c r="X1273" s="8"/>
      <c r="Y1273" s="8"/>
      <c r="Z1273" s="8"/>
    </row>
    <row r="1274" spans="1:26" s="9" customFormat="1" ht="15.75">
      <c r="A1274" s="66" t="s">
        <v>600</v>
      </c>
      <c r="B1274" s="18"/>
      <c r="C1274" s="18"/>
      <c r="D1274" s="18"/>
      <c r="E1274" s="18"/>
      <c r="F1274" s="18"/>
      <c r="G1274" s="18"/>
      <c r="H1274" s="18"/>
      <c r="I1274" s="18"/>
      <c r="J1274" s="18"/>
      <c r="K1274" s="18"/>
      <c r="L1274" s="18"/>
      <c r="M1274" s="18"/>
      <c r="N1274" s="149"/>
      <c r="O1274" s="19"/>
      <c r="P1274" s="8"/>
      <c r="Q1274" s="8"/>
      <c r="R1274" s="8"/>
      <c r="S1274" s="8"/>
      <c r="T1274" s="8"/>
      <c r="U1274" s="8"/>
      <c r="V1274" s="8"/>
      <c r="W1274" s="8"/>
      <c r="X1274" s="8"/>
      <c r="Y1274" s="8"/>
      <c r="Z1274" s="8"/>
    </row>
    <row r="1275" spans="1:26" s="9" customFormat="1" ht="15.75">
      <c r="A1275" s="40" t="s">
        <v>18</v>
      </c>
      <c r="B1275" s="21">
        <v>0</v>
      </c>
      <c r="C1275" s="21">
        <v>0</v>
      </c>
      <c r="D1275" s="21">
        <v>0</v>
      </c>
      <c r="E1275" s="21">
        <v>0</v>
      </c>
      <c r="F1275" s="21">
        <v>0</v>
      </c>
      <c r="G1275" s="21">
        <v>0</v>
      </c>
      <c r="H1275" s="21">
        <v>0</v>
      </c>
      <c r="I1275" s="21">
        <v>0</v>
      </c>
      <c r="J1275" s="87">
        <v>0</v>
      </c>
      <c r="K1275" s="87">
        <v>0</v>
      </c>
      <c r="L1275" s="87">
        <v>0</v>
      </c>
      <c r="M1275" s="87">
        <v>0</v>
      </c>
      <c r="N1275" s="150">
        <f>SUM(B1275:M1275)</f>
        <v>0</v>
      </c>
      <c r="O1275" s="22">
        <f>IF(N1275=0,0,AVERAGE(B1275:M1275))</f>
        <v>0</v>
      </c>
      <c r="P1275" s="8"/>
      <c r="Q1275" s="8"/>
      <c r="R1275" s="8"/>
      <c r="S1275" s="8"/>
      <c r="T1275" s="8"/>
      <c r="U1275" s="8"/>
      <c r="V1275" s="8"/>
      <c r="W1275" s="8"/>
      <c r="X1275" s="8"/>
      <c r="Y1275" s="8"/>
      <c r="Z1275" s="8"/>
    </row>
    <row r="1276" spans="1:26" s="9" customFormat="1" ht="15.75">
      <c r="A1276" s="40" t="s">
        <v>19</v>
      </c>
      <c r="B1276" s="21">
        <v>0</v>
      </c>
      <c r="C1276" s="21">
        <v>0</v>
      </c>
      <c r="D1276" s="21">
        <v>0</v>
      </c>
      <c r="E1276" s="21">
        <v>0</v>
      </c>
      <c r="F1276" s="21">
        <v>0</v>
      </c>
      <c r="G1276" s="21">
        <v>0</v>
      </c>
      <c r="H1276" s="21">
        <v>0</v>
      </c>
      <c r="I1276" s="21">
        <v>0</v>
      </c>
      <c r="J1276" s="87">
        <v>0</v>
      </c>
      <c r="K1276" s="87">
        <v>0</v>
      </c>
      <c r="L1276" s="87">
        <v>0</v>
      </c>
      <c r="M1276" s="87">
        <v>0</v>
      </c>
      <c r="N1276" s="150">
        <f>SUM(B1276:M1276)</f>
        <v>0</v>
      </c>
      <c r="O1276" s="22">
        <f>IF(N1276=0,0,AVERAGE(B1276:M1276))</f>
        <v>0</v>
      </c>
      <c r="P1276" s="8"/>
      <c r="Q1276" s="8"/>
      <c r="R1276" s="8"/>
      <c r="S1276" s="8"/>
      <c r="T1276" s="8"/>
      <c r="U1276" s="8"/>
      <c r="V1276" s="8"/>
      <c r="W1276" s="8"/>
      <c r="X1276" s="8"/>
      <c r="Y1276" s="8"/>
      <c r="Z1276" s="8"/>
    </row>
    <row r="1277" spans="1:26" s="9" customFormat="1" ht="15.75">
      <c r="A1277" s="40" t="s">
        <v>20</v>
      </c>
      <c r="B1277" s="21">
        <v>0</v>
      </c>
      <c r="C1277" s="21">
        <v>0</v>
      </c>
      <c r="D1277" s="21">
        <v>0</v>
      </c>
      <c r="E1277" s="21">
        <v>0</v>
      </c>
      <c r="F1277" s="21">
        <v>0</v>
      </c>
      <c r="G1277" s="21">
        <v>0</v>
      </c>
      <c r="H1277" s="21">
        <v>0</v>
      </c>
      <c r="I1277" s="21">
        <v>0</v>
      </c>
      <c r="J1277" s="21">
        <v>0</v>
      </c>
      <c r="K1277" s="21">
        <v>0</v>
      </c>
      <c r="L1277" s="21">
        <v>0</v>
      </c>
      <c r="M1277" s="21">
        <v>0</v>
      </c>
      <c r="N1277" s="150">
        <f>SUM(B1277:M1277)</f>
        <v>0</v>
      </c>
      <c r="O1277" s="22">
        <f>IF(N1277=0,0,AVERAGE(B1277:M1277))</f>
        <v>0</v>
      </c>
      <c r="P1277" s="8"/>
      <c r="Q1277" s="8"/>
      <c r="R1277" s="8"/>
      <c r="S1277" s="8"/>
      <c r="T1277" s="8"/>
      <c r="U1277" s="8"/>
      <c r="V1277" s="8"/>
      <c r="W1277" s="8"/>
      <c r="X1277" s="8"/>
      <c r="Y1277" s="8"/>
      <c r="Z1277" s="8"/>
    </row>
    <row r="1278" spans="1:26" s="9" customFormat="1" ht="15.75">
      <c r="A1278" s="62" t="s">
        <v>21</v>
      </c>
      <c r="B1278" s="24">
        <f t="shared" ref="B1278:C1278" si="1834">SUM(B1275:B1277)</f>
        <v>0</v>
      </c>
      <c r="C1278" s="24">
        <f t="shared" si="1834"/>
        <v>0</v>
      </c>
      <c r="D1278" s="24">
        <f t="shared" ref="D1278:E1278" si="1835">SUM(D1275:D1277)</f>
        <v>0</v>
      </c>
      <c r="E1278" s="24">
        <f t="shared" si="1835"/>
        <v>0</v>
      </c>
      <c r="F1278" s="24">
        <f t="shared" ref="F1278:G1278" si="1836">SUM(F1275:F1277)</f>
        <v>0</v>
      </c>
      <c r="G1278" s="24">
        <f t="shared" si="1836"/>
        <v>0</v>
      </c>
      <c r="H1278" s="24">
        <f t="shared" ref="H1278:I1278" si="1837">SUM(H1275:H1277)</f>
        <v>0</v>
      </c>
      <c r="I1278" s="24">
        <f t="shared" si="1837"/>
        <v>0</v>
      </c>
      <c r="J1278" s="24">
        <f t="shared" ref="J1278:K1278" si="1838">SUM(J1275:J1277)</f>
        <v>0</v>
      </c>
      <c r="K1278" s="24">
        <f t="shared" si="1838"/>
        <v>0</v>
      </c>
      <c r="L1278" s="24">
        <f t="shared" ref="L1278:M1278" si="1839">SUM(L1275:L1277)</f>
        <v>0</v>
      </c>
      <c r="M1278" s="24">
        <f t="shared" si="1839"/>
        <v>0</v>
      </c>
      <c r="N1278" s="144">
        <f>SUM(N1275:N1277)</f>
        <v>0</v>
      </c>
      <c r="O1278" s="25">
        <f>SUM(O1275:O1277)</f>
        <v>0</v>
      </c>
      <c r="P1278" s="8"/>
      <c r="Q1278" s="8"/>
      <c r="R1278" s="8"/>
      <c r="S1278" s="8"/>
      <c r="T1278" s="8"/>
      <c r="U1278" s="8"/>
      <c r="V1278" s="8"/>
      <c r="W1278" s="8"/>
      <c r="X1278" s="8"/>
      <c r="Y1278" s="8"/>
      <c r="Z1278" s="8"/>
    </row>
    <row r="1279" spans="1:26" s="9" customFormat="1" ht="15.75">
      <c r="A1279" s="62" t="s">
        <v>112</v>
      </c>
      <c r="B1279" s="24" t="s">
        <v>44</v>
      </c>
      <c r="C1279" s="24" t="s">
        <v>44</v>
      </c>
      <c r="D1279" s="24" t="s">
        <v>44</v>
      </c>
      <c r="E1279" s="24" t="s">
        <v>44</v>
      </c>
      <c r="F1279" s="24" t="s">
        <v>44</v>
      </c>
      <c r="G1279" s="24" t="s">
        <v>44</v>
      </c>
      <c r="H1279" s="24" t="s">
        <v>44</v>
      </c>
      <c r="I1279" s="24" t="s">
        <v>44</v>
      </c>
      <c r="J1279" s="24" t="s">
        <v>44</v>
      </c>
      <c r="K1279" s="24" t="s">
        <v>44</v>
      </c>
      <c r="L1279" s="24" t="s">
        <v>44</v>
      </c>
      <c r="M1279" s="24" t="s">
        <v>44</v>
      </c>
      <c r="N1279" s="144">
        <f>SUM(B1279:M1279)</f>
        <v>0</v>
      </c>
      <c r="O1279" s="25">
        <f>IF(N1279=0,0,AVERAGE(B1279:M1279))</f>
        <v>0</v>
      </c>
      <c r="P1279" s="8"/>
      <c r="Q1279" s="8"/>
      <c r="R1279" s="8"/>
      <c r="S1279" s="8"/>
      <c r="T1279" s="8"/>
      <c r="U1279" s="8"/>
      <c r="V1279" s="8"/>
      <c r="W1279" s="8"/>
      <c r="X1279" s="8"/>
      <c r="Y1279" s="8"/>
      <c r="Z1279" s="8"/>
    </row>
    <row r="1280" spans="1:26" s="9" customFormat="1" ht="15.75">
      <c r="A1280" s="101"/>
      <c r="B1280" s="27"/>
      <c r="C1280" s="27"/>
      <c r="D1280" s="27"/>
      <c r="E1280" s="27"/>
      <c r="F1280" s="27"/>
      <c r="G1280" s="27"/>
      <c r="H1280" s="27"/>
      <c r="I1280" s="27"/>
      <c r="J1280" s="28"/>
      <c r="K1280" s="28"/>
      <c r="L1280" s="28"/>
      <c r="M1280" s="28"/>
      <c r="N1280" s="151"/>
      <c r="O1280" s="102"/>
      <c r="P1280" s="8"/>
      <c r="Q1280" s="8"/>
      <c r="R1280" s="8"/>
      <c r="S1280" s="8"/>
      <c r="T1280" s="8"/>
      <c r="U1280" s="8"/>
      <c r="V1280" s="8"/>
      <c r="W1280" s="8"/>
      <c r="X1280" s="8"/>
      <c r="Y1280" s="8"/>
      <c r="Z1280" s="8"/>
    </row>
    <row r="1281" spans="1:26" s="9" customFormat="1" ht="15.75">
      <c r="A1281" s="66" t="s">
        <v>601</v>
      </c>
      <c r="B1281" s="18"/>
      <c r="C1281" s="18"/>
      <c r="D1281" s="18"/>
      <c r="E1281" s="18"/>
      <c r="F1281" s="18"/>
      <c r="G1281" s="18"/>
      <c r="H1281" s="18"/>
      <c r="I1281" s="18"/>
      <c r="J1281" s="18"/>
      <c r="K1281" s="18"/>
      <c r="L1281" s="18"/>
      <c r="M1281" s="18"/>
      <c r="N1281" s="149"/>
      <c r="O1281" s="19"/>
      <c r="P1281" s="8"/>
      <c r="Q1281" s="8"/>
      <c r="R1281" s="8"/>
      <c r="S1281" s="8"/>
      <c r="T1281" s="8"/>
      <c r="U1281" s="8"/>
      <c r="V1281" s="8"/>
      <c r="W1281" s="8"/>
      <c r="X1281" s="8"/>
      <c r="Y1281" s="8"/>
      <c r="Z1281" s="8"/>
    </row>
    <row r="1282" spans="1:26" s="9" customFormat="1" ht="15.75">
      <c r="A1282" s="104" t="s">
        <v>114</v>
      </c>
      <c r="B1282" s="105">
        <v>12</v>
      </c>
      <c r="C1282" s="105">
        <v>19</v>
      </c>
      <c r="D1282" s="105">
        <v>10</v>
      </c>
      <c r="E1282" s="105">
        <v>0</v>
      </c>
      <c r="F1282" s="105">
        <v>0</v>
      </c>
      <c r="G1282" s="105">
        <v>16</v>
      </c>
      <c r="H1282" s="105">
        <v>17</v>
      </c>
      <c r="I1282" s="105">
        <v>12</v>
      </c>
      <c r="J1282" s="106">
        <v>13</v>
      </c>
      <c r="K1282" s="106">
        <v>0</v>
      </c>
      <c r="L1282" s="106">
        <v>0</v>
      </c>
      <c r="M1282" s="106">
        <v>0</v>
      </c>
      <c r="N1282" s="150">
        <f>SUM(B1282:M1282)</f>
        <v>99</v>
      </c>
      <c r="O1282" s="22">
        <f>IF(N1282=0,0,AVERAGE(B1282:M1282))</f>
        <v>8.25</v>
      </c>
      <c r="P1282" s="8"/>
      <c r="Q1282" s="8"/>
      <c r="R1282" s="8"/>
      <c r="S1282" s="8"/>
      <c r="T1282" s="8"/>
      <c r="U1282" s="8"/>
      <c r="V1282" s="8"/>
      <c r="W1282" s="8"/>
      <c r="X1282" s="8"/>
      <c r="Y1282" s="8"/>
      <c r="Z1282" s="8"/>
    </row>
    <row r="1283" spans="1:26" s="9" customFormat="1" ht="15.75">
      <c r="A1283" s="62" t="s">
        <v>21</v>
      </c>
      <c r="B1283" s="24">
        <f t="shared" ref="B1283:C1283" si="1840">SUM(B1282)</f>
        <v>12</v>
      </c>
      <c r="C1283" s="24">
        <f t="shared" si="1840"/>
        <v>19</v>
      </c>
      <c r="D1283" s="24">
        <f t="shared" ref="D1283:E1283" si="1841">SUM(D1282)</f>
        <v>10</v>
      </c>
      <c r="E1283" s="24">
        <f t="shared" si="1841"/>
        <v>0</v>
      </c>
      <c r="F1283" s="24">
        <f t="shared" ref="F1283:G1283" si="1842">SUM(F1282)</f>
        <v>0</v>
      </c>
      <c r="G1283" s="24">
        <f t="shared" si="1842"/>
        <v>16</v>
      </c>
      <c r="H1283" s="24">
        <f t="shared" ref="H1283:I1283" si="1843">SUM(H1282)</f>
        <v>17</v>
      </c>
      <c r="I1283" s="24">
        <f t="shared" si="1843"/>
        <v>12</v>
      </c>
      <c r="J1283" s="24">
        <f t="shared" ref="J1283:K1283" si="1844">SUM(J1282)</f>
        <v>13</v>
      </c>
      <c r="K1283" s="24">
        <f t="shared" si="1844"/>
        <v>0</v>
      </c>
      <c r="L1283" s="24">
        <f t="shared" ref="L1283:M1283" si="1845">SUM(L1282)</f>
        <v>0</v>
      </c>
      <c r="M1283" s="24">
        <f t="shared" si="1845"/>
        <v>0</v>
      </c>
      <c r="N1283" s="144">
        <f>SUM(N1282)</f>
        <v>99</v>
      </c>
      <c r="O1283" s="25">
        <f>SUM(O1282)</f>
        <v>8.25</v>
      </c>
      <c r="P1283" s="8"/>
      <c r="Q1283" s="8"/>
      <c r="R1283" s="8"/>
      <c r="S1283" s="8"/>
      <c r="T1283" s="8"/>
      <c r="U1283" s="8"/>
      <c r="V1283" s="8"/>
      <c r="W1283" s="8"/>
      <c r="X1283" s="8"/>
      <c r="Y1283" s="8"/>
      <c r="Z1283" s="8"/>
    </row>
    <row r="1284" spans="1:26" s="9" customFormat="1" ht="15.75">
      <c r="A1284" s="62" t="s">
        <v>112</v>
      </c>
      <c r="B1284" s="25">
        <f t="shared" ref="B1284:G1284" si="1846">IF(B1283=0,"",B1283/B$1870)</f>
        <v>0.38709677419354838</v>
      </c>
      <c r="C1284" s="25">
        <f t="shared" si="1846"/>
        <v>0.6785714285714286</v>
      </c>
      <c r="D1284" s="25">
        <f t="shared" si="1846"/>
        <v>0.32258064516129031</v>
      </c>
      <c r="E1284" s="25" t="s">
        <v>44</v>
      </c>
      <c r="F1284" s="25" t="s">
        <v>44</v>
      </c>
      <c r="G1284" s="25">
        <f t="shared" si="1846"/>
        <v>0.53333333333333333</v>
      </c>
      <c r="H1284" s="25">
        <f t="shared" ref="H1284:I1284" si="1847">IF(H1283=0,"",H1283/H$1870)</f>
        <v>0.54838709677419351</v>
      </c>
      <c r="I1284" s="25">
        <f t="shared" si="1847"/>
        <v>0.38709677419354838</v>
      </c>
      <c r="J1284" s="25">
        <f t="shared" ref="J1284" si="1848">IF(J1283=0,"",J1283/J$1870)</f>
        <v>0.43333333333333335</v>
      </c>
      <c r="K1284" s="25" t="s">
        <v>44</v>
      </c>
      <c r="L1284" s="25" t="s">
        <v>44</v>
      </c>
      <c r="M1284" s="25" t="s">
        <v>44</v>
      </c>
      <c r="N1284" s="144">
        <f>SUM(B1284:M1284)</f>
        <v>3.2903993855606757</v>
      </c>
      <c r="O1284" s="25">
        <f>IF(N1284=0,0,AVERAGE(B1284:M1284))</f>
        <v>0.47005705508009654</v>
      </c>
      <c r="P1284" s="8"/>
      <c r="Q1284" s="8"/>
      <c r="R1284" s="8"/>
      <c r="S1284" s="8"/>
      <c r="T1284" s="8"/>
      <c r="U1284" s="8"/>
      <c r="V1284" s="8"/>
      <c r="W1284" s="8"/>
      <c r="X1284" s="8"/>
      <c r="Y1284" s="8"/>
      <c r="Z1284" s="8"/>
    </row>
    <row r="1285" spans="1:26" s="9" customFormat="1" ht="15.75">
      <c r="A1285" s="101"/>
      <c r="B1285" s="27"/>
      <c r="C1285" s="27"/>
      <c r="D1285" s="27"/>
      <c r="E1285" s="27"/>
      <c r="F1285" s="27"/>
      <c r="G1285" s="27"/>
      <c r="H1285" s="27"/>
      <c r="I1285" s="27"/>
      <c r="J1285" s="27"/>
      <c r="K1285" s="27"/>
      <c r="L1285" s="27"/>
      <c r="M1285" s="28"/>
      <c r="N1285" s="151"/>
      <c r="O1285" s="57"/>
      <c r="P1285" s="8"/>
      <c r="Q1285" s="8"/>
      <c r="R1285" s="8"/>
      <c r="S1285" s="8"/>
      <c r="T1285" s="8"/>
      <c r="U1285" s="8"/>
      <c r="V1285" s="8"/>
      <c r="W1285" s="8"/>
      <c r="X1285" s="8"/>
      <c r="Y1285" s="8"/>
      <c r="Z1285" s="8"/>
    </row>
    <row r="1286" spans="1:26" s="9" customFormat="1" ht="15.75">
      <c r="A1286" s="91" t="s">
        <v>153</v>
      </c>
      <c r="B1286" s="92">
        <f t="shared" ref="B1286:C1286" si="1849">B1278</f>
        <v>0</v>
      </c>
      <c r="C1286" s="92">
        <f t="shared" si="1849"/>
        <v>0</v>
      </c>
      <c r="D1286" s="92">
        <f t="shared" ref="D1286:E1286" si="1850">D1278</f>
        <v>0</v>
      </c>
      <c r="E1286" s="92">
        <f t="shared" si="1850"/>
        <v>0</v>
      </c>
      <c r="F1286" s="92">
        <f t="shared" ref="F1286:G1286" si="1851">F1278</f>
        <v>0</v>
      </c>
      <c r="G1286" s="92">
        <f t="shared" si="1851"/>
        <v>0</v>
      </c>
      <c r="H1286" s="92">
        <f t="shared" ref="H1286:I1286" si="1852">H1278</f>
        <v>0</v>
      </c>
      <c r="I1286" s="92">
        <f t="shared" si="1852"/>
        <v>0</v>
      </c>
      <c r="J1286" s="92">
        <f t="shared" ref="J1286:K1286" si="1853">J1278</f>
        <v>0</v>
      </c>
      <c r="K1286" s="92">
        <f t="shared" si="1853"/>
        <v>0</v>
      </c>
      <c r="L1286" s="92">
        <f t="shared" ref="L1286:M1286" si="1854">L1278</f>
        <v>0</v>
      </c>
      <c r="M1286" s="92">
        <f t="shared" si="1854"/>
        <v>0</v>
      </c>
      <c r="N1286" s="150">
        <f>SUM(B1286:M1286)</f>
        <v>0</v>
      </c>
      <c r="O1286" s="22">
        <f>IF(N1286=0,0,AVERAGE(B1286:M1286))</f>
        <v>0</v>
      </c>
      <c r="P1286" s="8"/>
      <c r="Q1286" s="8"/>
      <c r="R1286" s="8"/>
      <c r="S1286" s="8"/>
      <c r="T1286" s="8"/>
      <c r="U1286" s="8"/>
      <c r="V1286" s="8"/>
      <c r="W1286" s="8"/>
      <c r="X1286" s="8"/>
      <c r="Y1286" s="8"/>
      <c r="Z1286" s="8"/>
    </row>
    <row r="1287" spans="1:26" s="9" customFormat="1" ht="15.75">
      <c r="A1287" s="91" t="s">
        <v>154</v>
      </c>
      <c r="B1287" s="92">
        <f t="shared" ref="B1287:C1287" si="1855">B1283</f>
        <v>12</v>
      </c>
      <c r="C1287" s="92">
        <f t="shared" si="1855"/>
        <v>19</v>
      </c>
      <c r="D1287" s="92">
        <f t="shared" ref="D1287:E1287" si="1856">D1283</f>
        <v>10</v>
      </c>
      <c r="E1287" s="92">
        <f t="shared" si="1856"/>
        <v>0</v>
      </c>
      <c r="F1287" s="92">
        <f t="shared" ref="F1287:G1287" si="1857">F1283</f>
        <v>0</v>
      </c>
      <c r="G1287" s="92">
        <f t="shared" si="1857"/>
        <v>16</v>
      </c>
      <c r="H1287" s="92">
        <f t="shared" ref="H1287:I1287" si="1858">H1283</f>
        <v>17</v>
      </c>
      <c r="I1287" s="92">
        <f t="shared" si="1858"/>
        <v>12</v>
      </c>
      <c r="J1287" s="92">
        <f t="shared" ref="J1287:K1287" si="1859">J1283</f>
        <v>13</v>
      </c>
      <c r="K1287" s="92">
        <f t="shared" si="1859"/>
        <v>0</v>
      </c>
      <c r="L1287" s="92">
        <f t="shared" ref="L1287:M1287" si="1860">L1283</f>
        <v>0</v>
      </c>
      <c r="M1287" s="92">
        <f t="shared" si="1860"/>
        <v>0</v>
      </c>
      <c r="N1287" s="150">
        <f>SUM(B1287:M1287)</f>
        <v>99</v>
      </c>
      <c r="O1287" s="22">
        <f>IF(N1287=0,0,AVERAGE(B1287:M1287))</f>
        <v>8.25</v>
      </c>
      <c r="P1287" s="8"/>
      <c r="Q1287" s="8"/>
      <c r="R1287" s="8"/>
      <c r="S1287" s="8"/>
      <c r="T1287" s="8"/>
      <c r="U1287" s="8"/>
      <c r="V1287" s="8"/>
      <c r="W1287" s="8"/>
      <c r="X1287" s="8"/>
      <c r="Y1287" s="8"/>
      <c r="Z1287" s="8"/>
    </row>
    <row r="1288" spans="1:26" s="9" customFormat="1" ht="15.75">
      <c r="A1288" s="381" t="s">
        <v>155</v>
      </c>
      <c r="B1288" s="372">
        <f t="shared" ref="B1288:C1288" si="1861">SUM(B1286:B1287)</f>
        <v>12</v>
      </c>
      <c r="C1288" s="372">
        <f t="shared" si="1861"/>
        <v>19</v>
      </c>
      <c r="D1288" s="372">
        <f t="shared" ref="D1288:E1288" si="1862">SUM(D1286:D1287)</f>
        <v>10</v>
      </c>
      <c r="E1288" s="372">
        <f t="shared" si="1862"/>
        <v>0</v>
      </c>
      <c r="F1288" s="372">
        <f t="shared" ref="F1288:G1288" si="1863">SUM(F1286:F1287)</f>
        <v>0</v>
      </c>
      <c r="G1288" s="372">
        <f t="shared" si="1863"/>
        <v>16</v>
      </c>
      <c r="H1288" s="372">
        <f t="shared" ref="H1288:I1288" si="1864">SUM(H1286:H1287)</f>
        <v>17</v>
      </c>
      <c r="I1288" s="372">
        <f t="shared" si="1864"/>
        <v>12</v>
      </c>
      <c r="J1288" s="372">
        <f t="shared" ref="J1288:K1288" si="1865">SUM(J1286:J1287)</f>
        <v>13</v>
      </c>
      <c r="K1288" s="372">
        <f t="shared" si="1865"/>
        <v>0</v>
      </c>
      <c r="L1288" s="372">
        <f t="shared" ref="L1288:M1288" si="1866">SUM(L1286:L1287)</f>
        <v>0</v>
      </c>
      <c r="M1288" s="372">
        <f t="shared" si="1866"/>
        <v>0</v>
      </c>
      <c r="N1288" s="373">
        <f>SUM(N1286:N1287)</f>
        <v>99</v>
      </c>
      <c r="O1288" s="374">
        <f>SUM(O1286:O1287)</f>
        <v>8.25</v>
      </c>
      <c r="P1288" s="8"/>
      <c r="Q1288" s="8"/>
      <c r="R1288" s="8"/>
      <c r="S1288" s="8"/>
      <c r="T1288" s="8"/>
      <c r="U1288" s="8"/>
      <c r="V1288" s="8"/>
      <c r="W1288" s="8"/>
      <c r="X1288" s="8"/>
      <c r="Y1288" s="8"/>
      <c r="Z1288" s="8"/>
    </row>
    <row r="1289" spans="1:26" s="9" customFormat="1" ht="15.75">
      <c r="A1289" s="88"/>
      <c r="B1289" s="89"/>
      <c r="C1289" s="89"/>
      <c r="D1289" s="89"/>
      <c r="E1289" s="89"/>
      <c r="F1289" s="89"/>
      <c r="G1289" s="89"/>
      <c r="H1289" s="89"/>
      <c r="I1289" s="89"/>
      <c r="J1289" s="89"/>
      <c r="K1289" s="89"/>
      <c r="L1289" s="89"/>
      <c r="M1289" s="89"/>
      <c r="N1289" s="167"/>
      <c r="O1289" s="90"/>
      <c r="P1289" s="63"/>
      <c r="Q1289" s="63"/>
      <c r="R1289" s="63"/>
      <c r="S1289" s="63"/>
      <c r="T1289" s="63"/>
      <c r="U1289" s="63"/>
      <c r="V1289" s="63"/>
      <c r="W1289" s="63"/>
      <c r="X1289" s="63"/>
      <c r="Y1289" s="63"/>
      <c r="Z1289" s="63"/>
    </row>
    <row r="1290" spans="1:26" s="9" customFormat="1" ht="15.75">
      <c r="A1290" s="404" t="s">
        <v>621</v>
      </c>
      <c r="B1290" s="392"/>
      <c r="C1290" s="392"/>
      <c r="D1290" s="392"/>
      <c r="E1290" s="392"/>
      <c r="F1290" s="392"/>
      <c r="G1290" s="392"/>
      <c r="H1290" s="392"/>
      <c r="I1290" s="392"/>
      <c r="J1290" s="392"/>
      <c r="K1290" s="392"/>
      <c r="L1290" s="392"/>
      <c r="M1290" s="392"/>
      <c r="N1290" s="393"/>
      <c r="O1290" s="394"/>
      <c r="P1290" s="114"/>
      <c r="Q1290" s="114"/>
      <c r="R1290" s="114"/>
      <c r="S1290" s="114"/>
      <c r="T1290" s="114"/>
      <c r="U1290" s="114"/>
      <c r="V1290" s="114"/>
      <c r="W1290" s="114"/>
      <c r="X1290" s="114"/>
      <c r="Y1290" s="114"/>
      <c r="Z1290" s="114"/>
    </row>
    <row r="1291" spans="1:26" s="9" customFormat="1" ht="15.75">
      <c r="A1291" s="395" t="s">
        <v>622</v>
      </c>
      <c r="B1291" s="392"/>
      <c r="C1291" s="392"/>
      <c r="D1291" s="392"/>
      <c r="E1291" s="392"/>
      <c r="F1291" s="392"/>
      <c r="G1291" s="392"/>
      <c r="H1291" s="392"/>
      <c r="I1291" s="392"/>
      <c r="J1291" s="392"/>
      <c r="K1291" s="392"/>
      <c r="L1291" s="392"/>
      <c r="M1291" s="392"/>
      <c r="N1291" s="393"/>
      <c r="O1291" s="394"/>
      <c r="P1291" s="8"/>
      <c r="Q1291" s="8"/>
      <c r="R1291" s="8"/>
      <c r="S1291" s="8"/>
      <c r="T1291" s="8"/>
      <c r="U1291" s="8"/>
      <c r="V1291" s="8"/>
      <c r="W1291" s="8"/>
      <c r="X1291" s="8"/>
      <c r="Y1291" s="8"/>
      <c r="Z1291" s="8"/>
    </row>
    <row r="1292" spans="1:26" s="9" customFormat="1" ht="15.75">
      <c r="A1292" s="32" t="s">
        <v>173</v>
      </c>
      <c r="B1292" s="21">
        <f t="shared" ref="B1292:C1304" si="1867">B1310+B1335</f>
        <v>39</v>
      </c>
      <c r="C1292" s="21">
        <f t="shared" si="1867"/>
        <v>32</v>
      </c>
      <c r="D1292" s="21">
        <f t="shared" ref="D1292:E1292" si="1868">D1310+D1335</f>
        <v>23</v>
      </c>
      <c r="E1292" s="21">
        <f t="shared" si="1868"/>
        <v>13</v>
      </c>
      <c r="F1292" s="21">
        <f t="shared" ref="F1292:G1292" si="1869">F1310+F1335</f>
        <v>23</v>
      </c>
      <c r="G1292" s="21">
        <f t="shared" si="1869"/>
        <v>31</v>
      </c>
      <c r="H1292" s="21">
        <f t="shared" ref="H1292:I1292" si="1870">H1310+H1335</f>
        <v>34</v>
      </c>
      <c r="I1292" s="21">
        <f t="shared" si="1870"/>
        <v>31</v>
      </c>
      <c r="J1292" s="21">
        <f t="shared" ref="J1292:K1292" si="1871">J1310+J1335</f>
        <v>34</v>
      </c>
      <c r="K1292" s="21">
        <f t="shared" si="1871"/>
        <v>32</v>
      </c>
      <c r="L1292" s="21">
        <f t="shared" ref="L1292:M1292" si="1872">L1310+L1335</f>
        <v>32</v>
      </c>
      <c r="M1292" s="21">
        <f t="shared" si="1872"/>
        <v>33</v>
      </c>
      <c r="N1292" s="150">
        <f t="shared" ref="N1292:N1304" si="1873">SUM(B1292:M1292)</f>
        <v>357</v>
      </c>
      <c r="O1292" s="22">
        <f t="shared" ref="O1292:O1304" si="1874">IF(N1292=0,0,AVERAGE(B1292:M1292))</f>
        <v>29.75</v>
      </c>
      <c r="P1292" s="8"/>
      <c r="Q1292" s="8"/>
      <c r="R1292" s="8"/>
      <c r="S1292" s="8"/>
      <c r="T1292" s="8"/>
      <c r="U1292" s="8"/>
      <c r="V1292" s="8"/>
      <c r="W1292" s="8"/>
      <c r="X1292" s="8"/>
      <c r="Y1292" s="8"/>
      <c r="Z1292" s="8"/>
    </row>
    <row r="1293" spans="1:26" s="9" customFormat="1" ht="15.75">
      <c r="A1293" s="32" t="s">
        <v>683</v>
      </c>
      <c r="B1293" s="21">
        <f t="shared" si="1867"/>
        <v>4</v>
      </c>
      <c r="C1293" s="21">
        <f t="shared" si="1867"/>
        <v>0</v>
      </c>
      <c r="D1293" s="21">
        <f t="shared" ref="D1293:E1293" si="1875">D1311+D1336</f>
        <v>0</v>
      </c>
      <c r="E1293" s="21">
        <f t="shared" si="1875"/>
        <v>1</v>
      </c>
      <c r="F1293" s="21">
        <f t="shared" ref="F1293:G1293" si="1876">F1311+F1336</f>
        <v>0</v>
      </c>
      <c r="G1293" s="21">
        <f t="shared" si="1876"/>
        <v>1</v>
      </c>
      <c r="H1293" s="21">
        <f t="shared" ref="H1293:I1293" si="1877">H1311+H1336</f>
        <v>0</v>
      </c>
      <c r="I1293" s="21">
        <f t="shared" si="1877"/>
        <v>1</v>
      </c>
      <c r="J1293" s="21">
        <f t="shared" ref="J1293:K1293" si="1878">J1311+J1336</f>
        <v>3</v>
      </c>
      <c r="K1293" s="21">
        <f t="shared" si="1878"/>
        <v>1</v>
      </c>
      <c r="L1293" s="21">
        <f t="shared" ref="L1293:M1293" si="1879">L1311+L1336</f>
        <v>1</v>
      </c>
      <c r="M1293" s="21">
        <f t="shared" si="1879"/>
        <v>0</v>
      </c>
      <c r="N1293" s="150">
        <f t="shared" si="1873"/>
        <v>12</v>
      </c>
      <c r="O1293" s="22">
        <f t="shared" si="1874"/>
        <v>1</v>
      </c>
      <c r="P1293" s="8"/>
      <c r="Q1293" s="8"/>
      <c r="R1293" s="8"/>
      <c r="S1293" s="8"/>
      <c r="T1293" s="8"/>
      <c r="U1293" s="8"/>
      <c r="V1293" s="8"/>
      <c r="W1293" s="8"/>
      <c r="X1293" s="8"/>
      <c r="Y1293" s="8"/>
      <c r="Z1293" s="8"/>
    </row>
    <row r="1294" spans="1:26" s="9" customFormat="1" ht="15.75">
      <c r="A1294" s="32" t="s">
        <v>684</v>
      </c>
      <c r="B1294" s="21">
        <f t="shared" si="1867"/>
        <v>1</v>
      </c>
      <c r="C1294" s="21">
        <f t="shared" si="1867"/>
        <v>0</v>
      </c>
      <c r="D1294" s="21">
        <f t="shared" ref="D1294:E1294" si="1880">D1312+D1337</f>
        <v>0</v>
      </c>
      <c r="E1294" s="21">
        <f t="shared" si="1880"/>
        <v>0</v>
      </c>
      <c r="F1294" s="21">
        <f t="shared" ref="F1294:G1294" si="1881">F1312+F1337</f>
        <v>0</v>
      </c>
      <c r="G1294" s="21">
        <f t="shared" si="1881"/>
        <v>0</v>
      </c>
      <c r="H1294" s="21">
        <f t="shared" ref="H1294:I1294" si="1882">H1312+H1337</f>
        <v>0</v>
      </c>
      <c r="I1294" s="21">
        <f t="shared" si="1882"/>
        <v>4</v>
      </c>
      <c r="J1294" s="21">
        <f t="shared" ref="J1294:K1294" si="1883">J1312+J1337</f>
        <v>0</v>
      </c>
      <c r="K1294" s="21">
        <f t="shared" si="1883"/>
        <v>1</v>
      </c>
      <c r="L1294" s="21">
        <f t="shared" ref="L1294:M1294" si="1884">L1312+L1337</f>
        <v>1</v>
      </c>
      <c r="M1294" s="21">
        <f t="shared" si="1884"/>
        <v>1</v>
      </c>
      <c r="N1294" s="150">
        <f t="shared" si="1873"/>
        <v>8</v>
      </c>
      <c r="O1294" s="22">
        <f t="shared" si="1874"/>
        <v>0.66666666666666663</v>
      </c>
      <c r="P1294" s="8"/>
      <c r="Q1294" s="8"/>
      <c r="R1294" s="8"/>
      <c r="S1294" s="8"/>
      <c r="T1294" s="8"/>
      <c r="U1294" s="8"/>
      <c r="V1294" s="8"/>
      <c r="W1294" s="8"/>
      <c r="X1294" s="8"/>
      <c r="Y1294" s="8"/>
      <c r="Z1294" s="8"/>
    </row>
    <row r="1295" spans="1:26" s="9" customFormat="1" ht="15.75">
      <c r="A1295" s="32" t="s">
        <v>157</v>
      </c>
      <c r="B1295" s="21">
        <f t="shared" si="1867"/>
        <v>1</v>
      </c>
      <c r="C1295" s="21">
        <f t="shared" si="1867"/>
        <v>2</v>
      </c>
      <c r="D1295" s="21">
        <f t="shared" ref="D1295:E1295" si="1885">D1313+D1338</f>
        <v>2</v>
      </c>
      <c r="E1295" s="21">
        <f t="shared" si="1885"/>
        <v>1</v>
      </c>
      <c r="F1295" s="21">
        <f t="shared" ref="F1295:G1295" si="1886">F1313+F1338</f>
        <v>2</v>
      </c>
      <c r="G1295" s="21">
        <f t="shared" si="1886"/>
        <v>0</v>
      </c>
      <c r="H1295" s="21">
        <f t="shared" ref="H1295:I1295" si="1887">H1313+H1338</f>
        <v>4</v>
      </c>
      <c r="I1295" s="21">
        <f t="shared" si="1887"/>
        <v>4</v>
      </c>
      <c r="J1295" s="21">
        <f t="shared" ref="J1295:K1295" si="1888">J1313+J1338</f>
        <v>3</v>
      </c>
      <c r="K1295" s="21">
        <f t="shared" si="1888"/>
        <v>2</v>
      </c>
      <c r="L1295" s="21">
        <f t="shared" ref="L1295:M1295" si="1889">L1313+L1338</f>
        <v>2</v>
      </c>
      <c r="M1295" s="21">
        <f t="shared" si="1889"/>
        <v>2</v>
      </c>
      <c r="N1295" s="150">
        <f t="shared" si="1873"/>
        <v>25</v>
      </c>
      <c r="O1295" s="22">
        <f t="shared" si="1874"/>
        <v>2.0833333333333335</v>
      </c>
      <c r="P1295" s="13"/>
      <c r="Q1295" s="13"/>
      <c r="R1295" s="13"/>
      <c r="S1295" s="13"/>
      <c r="T1295" s="13"/>
      <c r="U1295" s="13"/>
      <c r="V1295" s="13"/>
      <c r="W1295" s="13"/>
      <c r="X1295" s="13"/>
      <c r="Y1295" s="13"/>
      <c r="Z1295" s="13"/>
    </row>
    <row r="1296" spans="1:26" s="9" customFormat="1" ht="15.75">
      <c r="A1296" s="32" t="s">
        <v>678</v>
      </c>
      <c r="B1296" s="21">
        <f t="shared" si="1867"/>
        <v>11</v>
      </c>
      <c r="C1296" s="21">
        <f t="shared" si="1867"/>
        <v>12</v>
      </c>
      <c r="D1296" s="21">
        <f t="shared" ref="D1296:E1296" si="1890">D1314+D1339</f>
        <v>4</v>
      </c>
      <c r="E1296" s="21">
        <f t="shared" si="1890"/>
        <v>5</v>
      </c>
      <c r="F1296" s="21">
        <f t="shared" ref="F1296:G1296" si="1891">F1314+F1339</f>
        <v>3</v>
      </c>
      <c r="G1296" s="21">
        <f t="shared" si="1891"/>
        <v>4</v>
      </c>
      <c r="H1296" s="21">
        <f t="shared" ref="H1296:I1296" si="1892">H1314+H1339</f>
        <v>7</v>
      </c>
      <c r="I1296" s="21">
        <f t="shared" si="1892"/>
        <v>5</v>
      </c>
      <c r="J1296" s="21">
        <f t="shared" ref="J1296:K1296" si="1893">J1314+J1339</f>
        <v>7</v>
      </c>
      <c r="K1296" s="21">
        <f t="shared" si="1893"/>
        <v>5</v>
      </c>
      <c r="L1296" s="21">
        <f t="shared" ref="L1296:M1296" si="1894">L1314+L1339</f>
        <v>12</v>
      </c>
      <c r="M1296" s="21">
        <f t="shared" si="1894"/>
        <v>3</v>
      </c>
      <c r="N1296" s="150">
        <f t="shared" si="1873"/>
        <v>78</v>
      </c>
      <c r="O1296" s="22">
        <f t="shared" si="1874"/>
        <v>6.5</v>
      </c>
      <c r="P1296" s="13"/>
      <c r="Q1296" s="13"/>
      <c r="R1296" s="13"/>
      <c r="S1296" s="13"/>
      <c r="T1296" s="13"/>
      <c r="U1296" s="13"/>
      <c r="V1296" s="13"/>
      <c r="W1296" s="13"/>
      <c r="X1296" s="13"/>
      <c r="Y1296" s="13"/>
      <c r="Z1296" s="13"/>
    </row>
    <row r="1297" spans="1:26" s="9" customFormat="1" ht="15.75">
      <c r="A1297" s="32" t="s">
        <v>411</v>
      </c>
      <c r="B1297" s="21">
        <f t="shared" si="1867"/>
        <v>1</v>
      </c>
      <c r="C1297" s="21">
        <f t="shared" si="1867"/>
        <v>2</v>
      </c>
      <c r="D1297" s="21">
        <f t="shared" ref="D1297:E1297" si="1895">D1315+D1340</f>
        <v>0</v>
      </c>
      <c r="E1297" s="21">
        <f t="shared" si="1895"/>
        <v>0</v>
      </c>
      <c r="F1297" s="21">
        <f t="shared" ref="F1297:G1297" si="1896">F1315+F1340</f>
        <v>0</v>
      </c>
      <c r="G1297" s="21">
        <f t="shared" si="1896"/>
        <v>1</v>
      </c>
      <c r="H1297" s="21">
        <f t="shared" ref="H1297:I1297" si="1897">H1315+H1340</f>
        <v>0</v>
      </c>
      <c r="I1297" s="21">
        <f t="shared" si="1897"/>
        <v>2</v>
      </c>
      <c r="J1297" s="21">
        <f t="shared" ref="J1297:K1297" si="1898">J1315+J1340</f>
        <v>3</v>
      </c>
      <c r="K1297" s="21">
        <f t="shared" si="1898"/>
        <v>0</v>
      </c>
      <c r="L1297" s="21">
        <f t="shared" ref="L1297:M1297" si="1899">L1315+L1340</f>
        <v>3</v>
      </c>
      <c r="M1297" s="21">
        <f t="shared" si="1899"/>
        <v>0</v>
      </c>
      <c r="N1297" s="150">
        <f t="shared" si="1873"/>
        <v>12</v>
      </c>
      <c r="O1297" s="22">
        <f t="shared" si="1874"/>
        <v>1</v>
      </c>
      <c r="P1297" s="13"/>
      <c r="Q1297" s="13"/>
      <c r="R1297" s="13"/>
      <c r="S1297" s="13"/>
      <c r="T1297" s="13"/>
      <c r="U1297" s="13"/>
      <c r="V1297" s="13"/>
      <c r="W1297" s="13"/>
      <c r="X1297" s="13"/>
      <c r="Y1297" s="13"/>
      <c r="Z1297" s="13"/>
    </row>
    <row r="1298" spans="1:26" s="9" customFormat="1" ht="15.75">
      <c r="A1298" s="32" t="s">
        <v>159</v>
      </c>
      <c r="B1298" s="21">
        <f t="shared" si="1867"/>
        <v>14</v>
      </c>
      <c r="C1298" s="21">
        <f t="shared" si="1867"/>
        <v>15</v>
      </c>
      <c r="D1298" s="21">
        <f t="shared" ref="D1298:E1298" si="1900">D1316+D1341</f>
        <v>15</v>
      </c>
      <c r="E1298" s="21">
        <f t="shared" si="1900"/>
        <v>9</v>
      </c>
      <c r="F1298" s="21">
        <f t="shared" ref="F1298:G1298" si="1901">F1316+F1341</f>
        <v>12</v>
      </c>
      <c r="G1298" s="21">
        <f t="shared" si="1901"/>
        <v>15</v>
      </c>
      <c r="H1298" s="21">
        <f t="shared" ref="H1298:I1298" si="1902">H1316+H1341</f>
        <v>13</v>
      </c>
      <c r="I1298" s="21">
        <f t="shared" si="1902"/>
        <v>18</v>
      </c>
      <c r="J1298" s="21">
        <f t="shared" ref="J1298:K1298" si="1903">J1316+J1341</f>
        <v>16</v>
      </c>
      <c r="K1298" s="21">
        <f t="shared" si="1903"/>
        <v>6</v>
      </c>
      <c r="L1298" s="21">
        <f t="shared" ref="L1298:M1298" si="1904">L1316+L1341</f>
        <v>11</v>
      </c>
      <c r="M1298" s="21">
        <f t="shared" si="1904"/>
        <v>14</v>
      </c>
      <c r="N1298" s="150">
        <f t="shared" si="1873"/>
        <v>158</v>
      </c>
      <c r="O1298" s="22">
        <f t="shared" si="1874"/>
        <v>13.166666666666666</v>
      </c>
      <c r="P1298" s="13"/>
      <c r="Q1298" s="13"/>
      <c r="R1298" s="13"/>
      <c r="S1298" s="13"/>
      <c r="T1298" s="13"/>
      <c r="U1298" s="13"/>
      <c r="V1298" s="13"/>
      <c r="W1298" s="13"/>
      <c r="X1298" s="13"/>
      <c r="Y1298" s="13"/>
      <c r="Z1298" s="13"/>
    </row>
    <row r="1299" spans="1:26" s="9" customFormat="1" ht="15.75">
      <c r="A1299" s="32" t="s">
        <v>174</v>
      </c>
      <c r="B1299" s="21">
        <f t="shared" si="1867"/>
        <v>3</v>
      </c>
      <c r="C1299" s="21">
        <f t="shared" si="1867"/>
        <v>1</v>
      </c>
      <c r="D1299" s="21">
        <f t="shared" ref="D1299:E1299" si="1905">D1317+D1342</f>
        <v>3</v>
      </c>
      <c r="E1299" s="21">
        <f t="shared" si="1905"/>
        <v>0</v>
      </c>
      <c r="F1299" s="21">
        <f t="shared" ref="F1299:G1299" si="1906">F1317+F1342</f>
        <v>0</v>
      </c>
      <c r="G1299" s="21">
        <f t="shared" si="1906"/>
        <v>1</v>
      </c>
      <c r="H1299" s="21">
        <f t="shared" ref="H1299:I1299" si="1907">H1317+H1342</f>
        <v>2</v>
      </c>
      <c r="I1299" s="21">
        <f t="shared" si="1907"/>
        <v>1</v>
      </c>
      <c r="J1299" s="21">
        <f t="shared" ref="J1299:K1299" si="1908">J1317+J1342</f>
        <v>1</v>
      </c>
      <c r="K1299" s="21">
        <f t="shared" si="1908"/>
        <v>0</v>
      </c>
      <c r="L1299" s="21">
        <f t="shared" ref="L1299:M1299" si="1909">L1317+L1342</f>
        <v>0</v>
      </c>
      <c r="M1299" s="21">
        <f t="shared" si="1909"/>
        <v>0</v>
      </c>
      <c r="N1299" s="150">
        <f t="shared" si="1873"/>
        <v>12</v>
      </c>
      <c r="O1299" s="22">
        <f t="shared" si="1874"/>
        <v>1</v>
      </c>
      <c r="P1299" s="13"/>
      <c r="Q1299" s="13"/>
      <c r="R1299" s="13"/>
      <c r="S1299" s="13"/>
      <c r="T1299" s="13"/>
      <c r="U1299" s="13"/>
      <c r="V1299" s="13"/>
      <c r="W1299" s="13"/>
      <c r="X1299" s="13"/>
      <c r="Y1299" s="13"/>
      <c r="Z1299" s="13"/>
    </row>
    <row r="1300" spans="1:26" s="9" customFormat="1" ht="15.75">
      <c r="A1300" s="32" t="s">
        <v>831</v>
      </c>
      <c r="B1300" s="21">
        <f t="shared" si="1867"/>
        <v>32</v>
      </c>
      <c r="C1300" s="21">
        <f t="shared" si="1867"/>
        <v>27</v>
      </c>
      <c r="D1300" s="21">
        <f t="shared" ref="D1300:E1300" si="1910">D1318+D1343</f>
        <v>23</v>
      </c>
      <c r="E1300" s="21">
        <f t="shared" si="1910"/>
        <v>9</v>
      </c>
      <c r="F1300" s="21">
        <f t="shared" ref="F1300:G1300" si="1911">F1318+F1343</f>
        <v>18</v>
      </c>
      <c r="G1300" s="21">
        <f t="shared" si="1911"/>
        <v>25</v>
      </c>
      <c r="H1300" s="21">
        <f t="shared" ref="H1300:I1300" si="1912">H1318+H1343</f>
        <v>31</v>
      </c>
      <c r="I1300" s="21">
        <f t="shared" si="1912"/>
        <v>27</v>
      </c>
      <c r="J1300" s="21">
        <f t="shared" ref="J1300:K1300" si="1913">J1318+J1343</f>
        <v>30</v>
      </c>
      <c r="K1300" s="21">
        <f t="shared" si="1913"/>
        <v>25</v>
      </c>
      <c r="L1300" s="21">
        <f t="shared" ref="L1300:M1300" si="1914">L1318+L1343</f>
        <v>30</v>
      </c>
      <c r="M1300" s="21">
        <f t="shared" si="1914"/>
        <v>29</v>
      </c>
      <c r="N1300" s="150">
        <f t="shared" si="1873"/>
        <v>306</v>
      </c>
      <c r="O1300" s="22">
        <f t="shared" si="1874"/>
        <v>25.5</v>
      </c>
      <c r="P1300" s="13"/>
      <c r="Q1300" s="13"/>
      <c r="R1300" s="13"/>
      <c r="S1300" s="13"/>
      <c r="T1300" s="13"/>
      <c r="U1300" s="13"/>
      <c r="V1300" s="13"/>
      <c r="W1300" s="13"/>
      <c r="X1300" s="13"/>
      <c r="Y1300" s="13"/>
      <c r="Z1300" s="13"/>
    </row>
    <row r="1301" spans="1:26" s="9" customFormat="1" ht="15.75">
      <c r="A1301" s="32" t="s">
        <v>299</v>
      </c>
      <c r="B1301" s="21">
        <f t="shared" si="1867"/>
        <v>8</v>
      </c>
      <c r="C1301" s="21">
        <f t="shared" si="1867"/>
        <v>5</v>
      </c>
      <c r="D1301" s="21">
        <f t="shared" ref="D1301:E1301" si="1915">D1319+D1344</f>
        <v>0</v>
      </c>
      <c r="E1301" s="21">
        <f t="shared" si="1915"/>
        <v>1</v>
      </c>
      <c r="F1301" s="21">
        <f t="shared" ref="F1301:G1301" si="1916">F1319+F1344</f>
        <v>0</v>
      </c>
      <c r="G1301" s="21">
        <f t="shared" si="1916"/>
        <v>8</v>
      </c>
      <c r="H1301" s="21">
        <f t="shared" ref="H1301:I1301" si="1917">H1319+H1344</f>
        <v>2</v>
      </c>
      <c r="I1301" s="21">
        <f t="shared" si="1917"/>
        <v>4</v>
      </c>
      <c r="J1301" s="21">
        <f t="shared" ref="J1301:K1301" si="1918">J1319+J1344</f>
        <v>6</v>
      </c>
      <c r="K1301" s="21">
        <f t="shared" si="1918"/>
        <v>7</v>
      </c>
      <c r="L1301" s="21">
        <f t="shared" ref="L1301:M1301" si="1919">L1319+L1344</f>
        <v>3</v>
      </c>
      <c r="M1301" s="21">
        <f t="shared" si="1919"/>
        <v>2</v>
      </c>
      <c r="N1301" s="150">
        <f t="shared" si="1873"/>
        <v>46</v>
      </c>
      <c r="O1301" s="22">
        <f t="shared" si="1874"/>
        <v>3.8333333333333335</v>
      </c>
      <c r="P1301" s="8"/>
      <c r="Q1301" s="8"/>
      <c r="R1301" s="8"/>
      <c r="S1301" s="8"/>
      <c r="T1301" s="8"/>
      <c r="U1301" s="8"/>
      <c r="V1301" s="8"/>
      <c r="W1301" s="8"/>
      <c r="X1301" s="8"/>
      <c r="Y1301" s="8"/>
      <c r="Z1301" s="8"/>
    </row>
    <row r="1302" spans="1:26" s="9" customFormat="1" ht="15.75">
      <c r="A1302" s="32" t="s">
        <v>685</v>
      </c>
      <c r="B1302" s="21">
        <f t="shared" si="1867"/>
        <v>0</v>
      </c>
      <c r="C1302" s="21">
        <f t="shared" si="1867"/>
        <v>0</v>
      </c>
      <c r="D1302" s="21">
        <f t="shared" ref="D1302:E1302" si="1920">D1320+D1345</f>
        <v>0</v>
      </c>
      <c r="E1302" s="21">
        <f t="shared" si="1920"/>
        <v>0</v>
      </c>
      <c r="F1302" s="21">
        <f t="shared" ref="F1302:G1302" si="1921">F1320+F1345</f>
        <v>2</v>
      </c>
      <c r="G1302" s="21">
        <f t="shared" si="1921"/>
        <v>0</v>
      </c>
      <c r="H1302" s="21">
        <f t="shared" ref="H1302:I1302" si="1922">H1320+H1345</f>
        <v>0</v>
      </c>
      <c r="I1302" s="21">
        <f t="shared" si="1922"/>
        <v>1</v>
      </c>
      <c r="J1302" s="21">
        <f t="shared" ref="J1302:K1302" si="1923">J1320+J1345</f>
        <v>0</v>
      </c>
      <c r="K1302" s="21">
        <f t="shared" si="1923"/>
        <v>0</v>
      </c>
      <c r="L1302" s="21">
        <f t="shared" ref="L1302:M1302" si="1924">L1320+L1345</f>
        <v>0</v>
      </c>
      <c r="M1302" s="21">
        <f t="shared" si="1924"/>
        <v>0</v>
      </c>
      <c r="N1302" s="150">
        <f t="shared" si="1873"/>
        <v>3</v>
      </c>
      <c r="O1302" s="22">
        <f t="shared" si="1874"/>
        <v>0.25</v>
      </c>
      <c r="P1302" s="8"/>
      <c r="Q1302" s="8"/>
      <c r="R1302" s="8"/>
      <c r="S1302" s="8"/>
      <c r="T1302" s="8"/>
      <c r="U1302" s="8"/>
      <c r="V1302" s="8"/>
      <c r="W1302" s="8"/>
      <c r="X1302" s="8"/>
      <c r="Y1302" s="8"/>
      <c r="Z1302" s="8"/>
    </row>
    <row r="1303" spans="1:26" s="9" customFormat="1" ht="15.75">
      <c r="A1303" s="32" t="s">
        <v>175</v>
      </c>
      <c r="B1303" s="21">
        <f t="shared" si="1867"/>
        <v>0</v>
      </c>
      <c r="C1303" s="21">
        <f t="shared" si="1867"/>
        <v>0</v>
      </c>
      <c r="D1303" s="21">
        <f t="shared" ref="D1303:E1303" si="1925">D1321+D1346</f>
        <v>0</v>
      </c>
      <c r="E1303" s="21">
        <f t="shared" si="1925"/>
        <v>0</v>
      </c>
      <c r="F1303" s="21">
        <f t="shared" ref="F1303:G1303" si="1926">F1321+F1346</f>
        <v>0</v>
      </c>
      <c r="G1303" s="21">
        <f t="shared" si="1926"/>
        <v>0</v>
      </c>
      <c r="H1303" s="21">
        <f t="shared" ref="H1303:I1303" si="1927">H1321+H1346</f>
        <v>0</v>
      </c>
      <c r="I1303" s="21">
        <f t="shared" si="1927"/>
        <v>0</v>
      </c>
      <c r="J1303" s="21">
        <f t="shared" ref="J1303:K1303" si="1928">J1321+J1346</f>
        <v>0</v>
      </c>
      <c r="K1303" s="21">
        <f t="shared" si="1928"/>
        <v>0</v>
      </c>
      <c r="L1303" s="21">
        <f t="shared" ref="L1303:M1303" si="1929">L1321+L1346</f>
        <v>0</v>
      </c>
      <c r="M1303" s="21">
        <f t="shared" si="1929"/>
        <v>0</v>
      </c>
      <c r="N1303" s="150">
        <f t="shared" si="1873"/>
        <v>0</v>
      </c>
      <c r="O1303" s="22">
        <f t="shared" si="1874"/>
        <v>0</v>
      </c>
      <c r="P1303" s="8"/>
      <c r="Q1303" s="8"/>
      <c r="R1303" s="8"/>
      <c r="S1303" s="8"/>
      <c r="T1303" s="8"/>
      <c r="U1303" s="8"/>
      <c r="V1303" s="8"/>
      <c r="W1303" s="8"/>
      <c r="X1303" s="8"/>
      <c r="Y1303" s="8"/>
      <c r="Z1303" s="8"/>
    </row>
    <row r="1304" spans="1:26" s="9" customFormat="1" ht="15.75">
      <c r="A1304" s="32" t="s">
        <v>164</v>
      </c>
      <c r="B1304" s="21">
        <f t="shared" si="1867"/>
        <v>54</v>
      </c>
      <c r="C1304" s="21">
        <f t="shared" si="1867"/>
        <v>34</v>
      </c>
      <c r="D1304" s="21">
        <f t="shared" ref="D1304:E1304" si="1930">D1322+D1347</f>
        <v>51</v>
      </c>
      <c r="E1304" s="21">
        <f t="shared" si="1930"/>
        <v>42</v>
      </c>
      <c r="F1304" s="21">
        <f t="shared" ref="F1304:G1304" si="1931">F1322+F1347</f>
        <v>37</v>
      </c>
      <c r="G1304" s="21">
        <f t="shared" si="1931"/>
        <v>62</v>
      </c>
      <c r="H1304" s="21">
        <f t="shared" ref="H1304:I1304" si="1932">H1322+H1347</f>
        <v>62</v>
      </c>
      <c r="I1304" s="21">
        <f t="shared" si="1932"/>
        <v>56</v>
      </c>
      <c r="J1304" s="21">
        <f t="shared" ref="J1304:K1304" si="1933">J1322+J1347</f>
        <v>38</v>
      </c>
      <c r="K1304" s="21">
        <f t="shared" si="1933"/>
        <v>42</v>
      </c>
      <c r="L1304" s="21">
        <f t="shared" ref="L1304:M1304" si="1934">L1322+L1347</f>
        <v>46</v>
      </c>
      <c r="M1304" s="21">
        <f t="shared" si="1934"/>
        <v>63</v>
      </c>
      <c r="N1304" s="150">
        <f t="shared" si="1873"/>
        <v>587</v>
      </c>
      <c r="O1304" s="22">
        <f t="shared" si="1874"/>
        <v>48.916666666666664</v>
      </c>
      <c r="P1304" s="8"/>
      <c r="Q1304" s="8"/>
      <c r="R1304" s="8"/>
      <c r="S1304" s="8"/>
      <c r="T1304" s="8"/>
      <c r="U1304" s="8"/>
      <c r="V1304" s="8"/>
      <c r="W1304" s="8"/>
      <c r="X1304" s="8"/>
      <c r="Y1304" s="8"/>
      <c r="Z1304" s="8"/>
    </row>
    <row r="1305" spans="1:26" s="9" customFormat="1" ht="15.75">
      <c r="A1305" s="32" t="s">
        <v>22</v>
      </c>
      <c r="B1305" s="21">
        <f t="shared" ref="B1305:G1305" si="1935">B1324+B1349</f>
        <v>168</v>
      </c>
      <c r="C1305" s="21">
        <f t="shared" si="1935"/>
        <v>130</v>
      </c>
      <c r="D1305" s="21">
        <f t="shared" si="1935"/>
        <v>121</v>
      </c>
      <c r="E1305" s="21">
        <f t="shared" si="1935"/>
        <v>81</v>
      </c>
      <c r="F1305" s="21">
        <f t="shared" si="1935"/>
        <v>97</v>
      </c>
      <c r="G1305" s="21">
        <f t="shared" si="1935"/>
        <v>148</v>
      </c>
      <c r="H1305" s="21">
        <f t="shared" ref="H1305:I1305" si="1936">H1324+H1349</f>
        <v>155</v>
      </c>
      <c r="I1305" s="21">
        <f t="shared" si="1936"/>
        <v>154</v>
      </c>
      <c r="J1305" s="21">
        <f t="shared" ref="J1305:K1305" si="1937">J1324+J1349</f>
        <v>141</v>
      </c>
      <c r="K1305" s="21">
        <f t="shared" si="1937"/>
        <v>121</v>
      </c>
      <c r="L1305" s="21">
        <f t="shared" ref="L1305:M1305" si="1938">L1324+L1349</f>
        <v>141</v>
      </c>
      <c r="M1305" s="21">
        <f t="shared" si="1938"/>
        <v>147</v>
      </c>
      <c r="N1305" s="150">
        <f t="shared" ref="N1305" si="1939">SUM(B1305:M1305)</f>
        <v>1604</v>
      </c>
      <c r="O1305" s="22">
        <f t="shared" ref="O1305" si="1940">IF(N1305=0,0,AVERAGE(B1305:M1305))</f>
        <v>133.66666666666666</v>
      </c>
      <c r="P1305" s="8"/>
      <c r="Q1305" s="8"/>
      <c r="R1305" s="8"/>
      <c r="S1305" s="8"/>
      <c r="T1305" s="8"/>
      <c r="U1305" s="8"/>
      <c r="V1305" s="8"/>
      <c r="W1305" s="8"/>
      <c r="X1305" s="8"/>
      <c r="Y1305" s="8"/>
      <c r="Z1305" s="8"/>
    </row>
    <row r="1306" spans="1:26" s="9" customFormat="1" ht="15.75">
      <c r="A1306" s="62" t="s">
        <v>21</v>
      </c>
      <c r="B1306" s="24">
        <f t="shared" ref="B1306:C1306" si="1941">SUM(B1292:B1304)</f>
        <v>168</v>
      </c>
      <c r="C1306" s="24">
        <f t="shared" si="1941"/>
        <v>130</v>
      </c>
      <c r="D1306" s="24">
        <f t="shared" ref="D1306:E1306" si="1942">SUM(D1292:D1304)</f>
        <v>121</v>
      </c>
      <c r="E1306" s="24">
        <f t="shared" si="1942"/>
        <v>81</v>
      </c>
      <c r="F1306" s="24">
        <f t="shared" ref="F1306:G1306" si="1943">SUM(F1292:F1304)</f>
        <v>97</v>
      </c>
      <c r="G1306" s="24">
        <f t="shared" si="1943"/>
        <v>148</v>
      </c>
      <c r="H1306" s="24">
        <f t="shared" ref="H1306:I1306" si="1944">SUM(H1292:H1304)</f>
        <v>155</v>
      </c>
      <c r="I1306" s="24">
        <f t="shared" si="1944"/>
        <v>154</v>
      </c>
      <c r="J1306" s="24">
        <f t="shared" ref="J1306:K1306" si="1945">SUM(J1292:J1304)</f>
        <v>141</v>
      </c>
      <c r="K1306" s="24">
        <f t="shared" si="1945"/>
        <v>121</v>
      </c>
      <c r="L1306" s="24">
        <f t="shared" ref="L1306:M1306" si="1946">SUM(L1292:L1304)</f>
        <v>141</v>
      </c>
      <c r="M1306" s="24">
        <f t="shared" si="1946"/>
        <v>147</v>
      </c>
      <c r="N1306" s="144">
        <f>SUM(N1292:N1304)</f>
        <v>1604</v>
      </c>
      <c r="O1306" s="25">
        <f>SUM(O1292:O1304)</f>
        <v>133.66666666666666</v>
      </c>
      <c r="P1306" s="8"/>
      <c r="Q1306" s="8"/>
      <c r="R1306" s="8"/>
      <c r="S1306" s="8"/>
      <c r="T1306" s="8"/>
      <c r="U1306" s="8"/>
      <c r="V1306" s="8"/>
      <c r="W1306" s="8"/>
      <c r="X1306" s="8"/>
      <c r="Y1306" s="8"/>
      <c r="Z1306" s="8"/>
    </row>
    <row r="1307" spans="1:26" s="9" customFormat="1" ht="15.75">
      <c r="A1307" s="62" t="s">
        <v>112</v>
      </c>
      <c r="B1307" s="25">
        <f t="shared" ref="B1307:G1307" si="1947">IF(B1306=0,"",B1306/B$1870)</f>
        <v>5.419354838709677</v>
      </c>
      <c r="C1307" s="25">
        <f t="shared" si="1947"/>
        <v>4.6428571428571432</v>
      </c>
      <c r="D1307" s="25">
        <f t="shared" si="1947"/>
        <v>3.903225806451613</v>
      </c>
      <c r="E1307" s="25">
        <f t="shared" si="1947"/>
        <v>2.7</v>
      </c>
      <c r="F1307" s="25">
        <f t="shared" si="1947"/>
        <v>3.129032258064516</v>
      </c>
      <c r="G1307" s="25">
        <f t="shared" si="1947"/>
        <v>4.9333333333333336</v>
      </c>
      <c r="H1307" s="25">
        <f t="shared" ref="H1307:I1307" si="1948">IF(H1306=0,"",H1306/H$1870)</f>
        <v>5</v>
      </c>
      <c r="I1307" s="25">
        <f t="shared" si="1948"/>
        <v>4.967741935483871</v>
      </c>
      <c r="J1307" s="25">
        <f t="shared" ref="J1307:K1307" si="1949">IF(J1306=0,"",J1306/J$1870)</f>
        <v>4.7</v>
      </c>
      <c r="K1307" s="25">
        <f t="shared" si="1949"/>
        <v>3.903225806451613</v>
      </c>
      <c r="L1307" s="25">
        <f t="shared" ref="L1307:M1307" si="1950">IF(L1306=0,"",L1306/L$1870)</f>
        <v>4.7</v>
      </c>
      <c r="M1307" s="25">
        <f t="shared" si="1950"/>
        <v>4.741935483870968</v>
      </c>
      <c r="N1307" s="144">
        <f>SUM(B1307:M1307)</f>
        <v>52.740706605222741</v>
      </c>
      <c r="O1307" s="25">
        <f>IF(N1307=0,0,AVERAGE(B1307:M1307))</f>
        <v>4.395058883768562</v>
      </c>
      <c r="P1307" s="8"/>
      <c r="Q1307" s="8"/>
      <c r="R1307" s="8"/>
      <c r="S1307" s="8"/>
      <c r="T1307" s="8"/>
      <c r="U1307" s="8"/>
      <c r="V1307" s="8"/>
      <c r="W1307" s="8"/>
      <c r="X1307" s="8"/>
      <c r="Y1307" s="8"/>
      <c r="Z1307" s="8"/>
    </row>
    <row r="1308" spans="1:26" s="9" customFormat="1" ht="15.75">
      <c r="A1308" s="26"/>
      <c r="B1308" s="27"/>
      <c r="C1308" s="27"/>
      <c r="D1308" s="27"/>
      <c r="E1308" s="28"/>
      <c r="F1308" s="28"/>
      <c r="G1308" s="28"/>
      <c r="H1308" s="28"/>
      <c r="I1308" s="28"/>
      <c r="J1308" s="28"/>
      <c r="K1308" s="28"/>
      <c r="L1308" s="28"/>
      <c r="M1308" s="28"/>
      <c r="N1308" s="151"/>
      <c r="O1308" s="57"/>
      <c r="P1308" s="8"/>
      <c r="Q1308" s="8"/>
      <c r="R1308" s="8"/>
      <c r="S1308" s="8"/>
      <c r="T1308" s="8"/>
      <c r="U1308" s="8"/>
      <c r="V1308" s="8"/>
      <c r="W1308" s="8"/>
      <c r="X1308" s="8"/>
      <c r="Y1308" s="8"/>
      <c r="Z1308" s="8"/>
    </row>
    <row r="1309" spans="1:26" s="9" customFormat="1" ht="15.75">
      <c r="A1309" s="66" t="s">
        <v>623</v>
      </c>
      <c r="B1309" s="81"/>
      <c r="C1309" s="81"/>
      <c r="D1309" s="81"/>
      <c r="E1309" s="81"/>
      <c r="F1309" s="81"/>
      <c r="G1309" s="81"/>
      <c r="H1309" s="81"/>
      <c r="I1309" s="81"/>
      <c r="J1309" s="81"/>
      <c r="K1309" s="81"/>
      <c r="L1309" s="81"/>
      <c r="M1309" s="81"/>
      <c r="N1309" s="165"/>
      <c r="O1309" s="82"/>
      <c r="P1309" s="8"/>
      <c r="Q1309" s="8"/>
      <c r="R1309" s="8"/>
      <c r="S1309" s="8"/>
      <c r="T1309" s="8"/>
      <c r="U1309" s="8"/>
      <c r="V1309" s="8"/>
      <c r="W1309" s="8"/>
      <c r="X1309" s="8"/>
      <c r="Y1309" s="8"/>
      <c r="Z1309" s="8"/>
    </row>
    <row r="1310" spans="1:26" s="9" customFormat="1" ht="15.75">
      <c r="A1310" s="32" t="s">
        <v>173</v>
      </c>
      <c r="B1310" s="21">
        <v>19</v>
      </c>
      <c r="C1310" s="21">
        <v>13</v>
      </c>
      <c r="D1310" s="21">
        <v>11</v>
      </c>
      <c r="E1310" s="21">
        <v>7</v>
      </c>
      <c r="F1310" s="21">
        <v>9</v>
      </c>
      <c r="G1310" s="21">
        <v>18</v>
      </c>
      <c r="H1310" s="21">
        <f>5+12+7</f>
        <v>24</v>
      </c>
      <c r="I1310" s="21">
        <v>19</v>
      </c>
      <c r="J1310" s="21">
        <f>8+8+1</f>
        <v>17</v>
      </c>
      <c r="K1310" s="21">
        <f>1+8</f>
        <v>9</v>
      </c>
      <c r="L1310" s="21">
        <v>14</v>
      </c>
      <c r="M1310" s="21">
        <f>8+3+1</f>
        <v>12</v>
      </c>
      <c r="N1310" s="150">
        <f t="shared" ref="N1310:N1322" si="1951">SUM(B1310:M1310)</f>
        <v>172</v>
      </c>
      <c r="O1310" s="22">
        <f t="shared" ref="O1310:O1322" si="1952">IF(N1310=0,0,AVERAGE(B1310:M1310))</f>
        <v>14.333333333333334</v>
      </c>
      <c r="P1310" s="8"/>
      <c r="Q1310" s="8"/>
      <c r="R1310" s="8"/>
      <c r="S1310" s="8"/>
      <c r="T1310" s="8"/>
      <c r="U1310" s="8"/>
      <c r="V1310" s="8"/>
      <c r="W1310" s="8"/>
      <c r="X1310" s="8"/>
      <c r="Y1310" s="8"/>
      <c r="Z1310" s="8"/>
    </row>
    <row r="1311" spans="1:26" s="9" customFormat="1" ht="15.75">
      <c r="A1311" s="32" t="s">
        <v>683</v>
      </c>
      <c r="B1311" s="21">
        <v>2</v>
      </c>
      <c r="C1311" s="21">
        <v>0</v>
      </c>
      <c r="D1311" s="21">
        <v>0</v>
      </c>
      <c r="E1311" s="21">
        <v>0</v>
      </c>
      <c r="F1311" s="21">
        <v>0</v>
      </c>
      <c r="G1311" s="21">
        <v>0</v>
      </c>
      <c r="H1311" s="21">
        <v>0</v>
      </c>
      <c r="I1311" s="21">
        <v>0</v>
      </c>
      <c r="J1311" s="21">
        <v>0</v>
      </c>
      <c r="K1311" s="21">
        <v>0</v>
      </c>
      <c r="L1311" s="21">
        <v>0</v>
      </c>
      <c r="M1311" s="21">
        <v>0</v>
      </c>
      <c r="N1311" s="150">
        <f t="shared" si="1951"/>
        <v>2</v>
      </c>
      <c r="O1311" s="22">
        <f t="shared" si="1952"/>
        <v>0.16666666666666666</v>
      </c>
      <c r="P1311" s="8"/>
      <c r="Q1311" s="8"/>
      <c r="R1311" s="8"/>
      <c r="S1311" s="8"/>
      <c r="T1311" s="8"/>
      <c r="U1311" s="8"/>
      <c r="V1311" s="8"/>
      <c r="W1311" s="8"/>
      <c r="X1311" s="8"/>
      <c r="Y1311" s="8"/>
      <c r="Z1311" s="8"/>
    </row>
    <row r="1312" spans="1:26" s="9" customFormat="1" ht="15.75">
      <c r="A1312" s="32" t="s">
        <v>684</v>
      </c>
      <c r="B1312" s="21">
        <v>0</v>
      </c>
      <c r="C1312" s="21">
        <v>0</v>
      </c>
      <c r="D1312" s="21">
        <v>0</v>
      </c>
      <c r="E1312" s="21">
        <v>0</v>
      </c>
      <c r="F1312" s="21">
        <v>0</v>
      </c>
      <c r="G1312" s="21">
        <v>0</v>
      </c>
      <c r="H1312" s="21">
        <v>0</v>
      </c>
      <c r="I1312" s="21">
        <v>4</v>
      </c>
      <c r="J1312" s="21">
        <v>0</v>
      </c>
      <c r="K1312" s="21">
        <v>0</v>
      </c>
      <c r="L1312" s="21">
        <v>0</v>
      </c>
      <c r="M1312" s="21">
        <v>0</v>
      </c>
      <c r="N1312" s="150">
        <f t="shared" si="1951"/>
        <v>4</v>
      </c>
      <c r="O1312" s="22">
        <f t="shared" si="1952"/>
        <v>0.33333333333333331</v>
      </c>
      <c r="P1312" s="13"/>
      <c r="Q1312" s="13"/>
      <c r="R1312" s="13"/>
      <c r="S1312" s="13"/>
      <c r="T1312" s="13"/>
      <c r="U1312" s="13"/>
      <c r="V1312" s="13"/>
      <c r="W1312" s="13"/>
      <c r="X1312" s="13"/>
      <c r="Y1312" s="13"/>
      <c r="Z1312" s="13"/>
    </row>
    <row r="1313" spans="1:26" s="9" customFormat="1" ht="15.75">
      <c r="A1313" s="32" t="s">
        <v>157</v>
      </c>
      <c r="B1313" s="21">
        <v>0</v>
      </c>
      <c r="C1313" s="21">
        <v>1</v>
      </c>
      <c r="D1313" s="21">
        <v>0</v>
      </c>
      <c r="E1313" s="21">
        <v>0</v>
      </c>
      <c r="F1313" s="21">
        <v>0</v>
      </c>
      <c r="G1313" s="21">
        <v>0</v>
      </c>
      <c r="H1313" s="21">
        <v>0</v>
      </c>
      <c r="I1313" s="21">
        <v>1</v>
      </c>
      <c r="J1313" s="21">
        <v>0</v>
      </c>
      <c r="K1313" s="21">
        <v>0</v>
      </c>
      <c r="L1313" s="21">
        <v>0</v>
      </c>
      <c r="M1313" s="21">
        <v>0</v>
      </c>
      <c r="N1313" s="150">
        <f t="shared" si="1951"/>
        <v>2</v>
      </c>
      <c r="O1313" s="22">
        <f t="shared" si="1952"/>
        <v>0.16666666666666666</v>
      </c>
      <c r="P1313" s="8"/>
      <c r="Q1313" s="8"/>
      <c r="R1313" s="8"/>
      <c r="S1313" s="8"/>
      <c r="T1313" s="8"/>
      <c r="U1313" s="8"/>
      <c r="V1313" s="8"/>
      <c r="W1313" s="8"/>
      <c r="X1313" s="8"/>
      <c r="Y1313" s="8"/>
      <c r="Z1313" s="8"/>
    </row>
    <row r="1314" spans="1:26" s="9" customFormat="1" ht="15.75">
      <c r="A1314" s="32" t="s">
        <v>678</v>
      </c>
      <c r="B1314" s="21">
        <v>1</v>
      </c>
      <c r="C1314" s="21">
        <v>0</v>
      </c>
      <c r="D1314" s="21">
        <v>0</v>
      </c>
      <c r="E1314" s="21">
        <v>0</v>
      </c>
      <c r="F1314" s="21">
        <v>0</v>
      </c>
      <c r="G1314" s="21">
        <v>0</v>
      </c>
      <c r="H1314" s="21">
        <v>0</v>
      </c>
      <c r="I1314" s="21">
        <v>1</v>
      </c>
      <c r="J1314" s="21">
        <v>0</v>
      </c>
      <c r="K1314" s="21">
        <v>0</v>
      </c>
      <c r="L1314" s="21">
        <v>0</v>
      </c>
      <c r="M1314" s="21">
        <v>0</v>
      </c>
      <c r="N1314" s="150">
        <f t="shared" si="1951"/>
        <v>2</v>
      </c>
      <c r="O1314" s="22">
        <f t="shared" si="1952"/>
        <v>0.16666666666666666</v>
      </c>
      <c r="P1314" s="8"/>
      <c r="Q1314" s="8"/>
      <c r="R1314" s="8"/>
      <c r="S1314" s="8"/>
      <c r="T1314" s="8"/>
      <c r="U1314" s="8"/>
      <c r="V1314" s="8"/>
      <c r="W1314" s="8"/>
      <c r="X1314" s="8"/>
      <c r="Y1314" s="8"/>
      <c r="Z1314" s="8"/>
    </row>
    <row r="1315" spans="1:26" s="9" customFormat="1" ht="15.75">
      <c r="A1315" s="32" t="s">
        <v>411</v>
      </c>
      <c r="B1315" s="21">
        <v>1</v>
      </c>
      <c r="C1315" s="21">
        <v>0</v>
      </c>
      <c r="D1315" s="21">
        <v>0</v>
      </c>
      <c r="E1315" s="21">
        <v>0</v>
      </c>
      <c r="F1315" s="21">
        <v>0</v>
      </c>
      <c r="G1315" s="21">
        <v>0</v>
      </c>
      <c r="H1315" s="21">
        <v>0</v>
      </c>
      <c r="I1315" s="21">
        <v>1</v>
      </c>
      <c r="J1315" s="21">
        <v>0</v>
      </c>
      <c r="K1315" s="21">
        <v>0</v>
      </c>
      <c r="L1315" s="21">
        <v>0</v>
      </c>
      <c r="M1315" s="21">
        <v>0</v>
      </c>
      <c r="N1315" s="150">
        <f t="shared" si="1951"/>
        <v>2</v>
      </c>
      <c r="O1315" s="22">
        <f t="shared" si="1952"/>
        <v>0.16666666666666666</v>
      </c>
      <c r="P1315" s="8"/>
      <c r="Q1315" s="8"/>
      <c r="R1315" s="8"/>
      <c r="S1315" s="8"/>
      <c r="T1315" s="8"/>
      <c r="U1315" s="8"/>
      <c r="V1315" s="8"/>
      <c r="W1315" s="8"/>
      <c r="X1315" s="8"/>
      <c r="Y1315" s="8"/>
      <c r="Z1315" s="8"/>
    </row>
    <row r="1316" spans="1:26" s="9" customFormat="1" ht="15.75">
      <c r="A1316" s="32" t="s">
        <v>159</v>
      </c>
      <c r="B1316" s="21">
        <v>9</v>
      </c>
      <c r="C1316" s="21">
        <v>5</v>
      </c>
      <c r="D1316" s="21">
        <v>4</v>
      </c>
      <c r="E1316" s="21">
        <v>1</v>
      </c>
      <c r="F1316" s="21">
        <v>4</v>
      </c>
      <c r="G1316" s="21">
        <v>4</v>
      </c>
      <c r="H1316" s="21">
        <f>4+2</f>
        <v>6</v>
      </c>
      <c r="I1316" s="21">
        <v>7</v>
      </c>
      <c r="J1316" s="21">
        <f>2+1+1</f>
        <v>4</v>
      </c>
      <c r="K1316" s="21">
        <v>1</v>
      </c>
      <c r="L1316" s="21">
        <v>3</v>
      </c>
      <c r="M1316" s="21">
        <v>1</v>
      </c>
      <c r="N1316" s="150">
        <f t="shared" si="1951"/>
        <v>49</v>
      </c>
      <c r="O1316" s="22">
        <f t="shared" si="1952"/>
        <v>4.083333333333333</v>
      </c>
      <c r="P1316" s="8"/>
      <c r="Q1316" s="8"/>
      <c r="R1316" s="8"/>
      <c r="S1316" s="8"/>
      <c r="T1316" s="8"/>
      <c r="U1316" s="8"/>
      <c r="V1316" s="8"/>
      <c r="W1316" s="8"/>
      <c r="X1316" s="8"/>
      <c r="Y1316" s="8"/>
      <c r="Z1316" s="8"/>
    </row>
    <row r="1317" spans="1:26" s="9" customFormat="1" ht="15.75">
      <c r="A1317" s="32" t="s">
        <v>174</v>
      </c>
      <c r="B1317" s="21">
        <v>0</v>
      </c>
      <c r="C1317" s="21">
        <v>1</v>
      </c>
      <c r="D1317" s="21">
        <v>1</v>
      </c>
      <c r="E1317" s="21">
        <v>0</v>
      </c>
      <c r="F1317" s="21">
        <v>0</v>
      </c>
      <c r="G1317" s="21">
        <v>0</v>
      </c>
      <c r="H1317" s="21">
        <v>2</v>
      </c>
      <c r="I1317" s="21">
        <v>0</v>
      </c>
      <c r="J1317" s="21">
        <v>1</v>
      </c>
      <c r="K1317" s="21">
        <v>0</v>
      </c>
      <c r="L1317" s="21">
        <v>0</v>
      </c>
      <c r="M1317" s="21">
        <v>0</v>
      </c>
      <c r="N1317" s="150">
        <f t="shared" si="1951"/>
        <v>5</v>
      </c>
      <c r="O1317" s="22">
        <f t="shared" si="1952"/>
        <v>0.41666666666666669</v>
      </c>
      <c r="P1317" s="8"/>
      <c r="Q1317" s="8"/>
      <c r="R1317" s="8"/>
      <c r="S1317" s="8"/>
      <c r="T1317" s="8"/>
      <c r="U1317" s="8"/>
      <c r="V1317" s="8"/>
      <c r="W1317" s="8"/>
      <c r="X1317" s="8"/>
      <c r="Y1317" s="8"/>
      <c r="Z1317" s="8"/>
    </row>
    <row r="1318" spans="1:26" s="9" customFormat="1" ht="15.75">
      <c r="A1318" s="32" t="s">
        <v>831</v>
      </c>
      <c r="B1318" s="21">
        <v>16</v>
      </c>
      <c r="C1318" s="21">
        <v>11</v>
      </c>
      <c r="D1318" s="21">
        <v>11</v>
      </c>
      <c r="E1318" s="21">
        <v>3</v>
      </c>
      <c r="F1318" s="21">
        <v>7</v>
      </c>
      <c r="G1318" s="21">
        <v>14</v>
      </c>
      <c r="H1318" s="21">
        <f>5+11+7</f>
        <v>23</v>
      </c>
      <c r="I1318" s="21">
        <v>12</v>
      </c>
      <c r="J1318" s="21">
        <f>8+5+1</f>
        <v>14</v>
      </c>
      <c r="K1318" s="21">
        <f>1+7</f>
        <v>8</v>
      </c>
      <c r="L1318" s="21">
        <v>13</v>
      </c>
      <c r="M1318" s="21">
        <f>8+3+1</f>
        <v>12</v>
      </c>
      <c r="N1318" s="150">
        <f t="shared" si="1951"/>
        <v>144</v>
      </c>
      <c r="O1318" s="22">
        <f t="shared" si="1952"/>
        <v>12</v>
      </c>
      <c r="P1318" s="8"/>
      <c r="Q1318" s="8"/>
      <c r="R1318" s="8"/>
      <c r="S1318" s="8"/>
      <c r="T1318" s="8"/>
      <c r="U1318" s="8"/>
      <c r="V1318" s="8"/>
      <c r="W1318" s="8"/>
      <c r="X1318" s="8"/>
      <c r="Y1318" s="8"/>
      <c r="Z1318" s="8"/>
    </row>
    <row r="1319" spans="1:26" s="9" customFormat="1" ht="15.75">
      <c r="A1319" s="32" t="s">
        <v>299</v>
      </c>
      <c r="B1319" s="21">
        <v>2</v>
      </c>
      <c r="C1319" s="21">
        <v>1</v>
      </c>
      <c r="D1319" s="21">
        <v>0</v>
      </c>
      <c r="E1319" s="21">
        <v>0</v>
      </c>
      <c r="F1319" s="21">
        <v>0</v>
      </c>
      <c r="G1319" s="21">
        <v>0</v>
      </c>
      <c r="H1319" s="21">
        <v>1</v>
      </c>
      <c r="I1319" s="21">
        <v>0</v>
      </c>
      <c r="J1319" s="21">
        <v>0</v>
      </c>
      <c r="K1319" s="21">
        <v>1</v>
      </c>
      <c r="L1319" s="21">
        <v>0</v>
      </c>
      <c r="M1319" s="21">
        <v>0</v>
      </c>
      <c r="N1319" s="150">
        <f t="shared" si="1951"/>
        <v>5</v>
      </c>
      <c r="O1319" s="22">
        <f t="shared" si="1952"/>
        <v>0.41666666666666669</v>
      </c>
      <c r="P1319" s="8"/>
      <c r="Q1319" s="8"/>
      <c r="R1319" s="8"/>
      <c r="S1319" s="8"/>
      <c r="T1319" s="8"/>
      <c r="U1319" s="8"/>
      <c r="V1319" s="8"/>
      <c r="W1319" s="8"/>
      <c r="X1319" s="8"/>
      <c r="Y1319" s="8"/>
      <c r="Z1319" s="8"/>
    </row>
    <row r="1320" spans="1:26" s="9" customFormat="1" ht="15.75">
      <c r="A1320" s="32" t="s">
        <v>685</v>
      </c>
      <c r="B1320" s="21">
        <v>0</v>
      </c>
      <c r="C1320" s="21">
        <v>0</v>
      </c>
      <c r="D1320" s="21">
        <v>0</v>
      </c>
      <c r="E1320" s="21">
        <v>0</v>
      </c>
      <c r="F1320" s="21">
        <v>1</v>
      </c>
      <c r="G1320" s="21">
        <v>0</v>
      </c>
      <c r="H1320" s="21">
        <v>0</v>
      </c>
      <c r="I1320" s="21">
        <v>0</v>
      </c>
      <c r="J1320" s="21">
        <v>0</v>
      </c>
      <c r="K1320" s="21">
        <v>0</v>
      </c>
      <c r="L1320" s="21">
        <v>0</v>
      </c>
      <c r="M1320" s="21">
        <v>0</v>
      </c>
      <c r="N1320" s="150">
        <f t="shared" si="1951"/>
        <v>1</v>
      </c>
      <c r="O1320" s="22">
        <f t="shared" si="1952"/>
        <v>8.3333333333333329E-2</v>
      </c>
      <c r="P1320" s="13"/>
      <c r="Q1320" s="13"/>
      <c r="R1320" s="13"/>
      <c r="S1320" s="13"/>
      <c r="T1320" s="13"/>
      <c r="U1320" s="13"/>
      <c r="V1320" s="13"/>
      <c r="W1320" s="13"/>
      <c r="X1320" s="13"/>
      <c r="Y1320" s="13"/>
      <c r="Z1320" s="13"/>
    </row>
    <row r="1321" spans="1:26" s="9" customFormat="1" ht="15.75">
      <c r="A1321" s="32" t="s">
        <v>175</v>
      </c>
      <c r="B1321" s="21">
        <v>0</v>
      </c>
      <c r="C1321" s="21">
        <v>0</v>
      </c>
      <c r="D1321" s="21">
        <v>0</v>
      </c>
      <c r="E1321" s="21">
        <v>0</v>
      </c>
      <c r="F1321" s="21">
        <v>0</v>
      </c>
      <c r="G1321" s="21">
        <v>0</v>
      </c>
      <c r="H1321" s="21">
        <v>0</v>
      </c>
      <c r="I1321" s="21">
        <v>0</v>
      </c>
      <c r="J1321" s="21">
        <v>0</v>
      </c>
      <c r="K1321" s="21">
        <v>0</v>
      </c>
      <c r="L1321" s="21">
        <v>0</v>
      </c>
      <c r="M1321" s="21">
        <v>0</v>
      </c>
      <c r="N1321" s="150">
        <f t="shared" si="1951"/>
        <v>0</v>
      </c>
      <c r="O1321" s="22">
        <f t="shared" si="1952"/>
        <v>0</v>
      </c>
      <c r="P1321" s="13"/>
      <c r="Q1321" s="13"/>
      <c r="R1321" s="13"/>
      <c r="S1321" s="13"/>
      <c r="T1321" s="13"/>
      <c r="U1321" s="13"/>
      <c r="V1321" s="13"/>
      <c r="W1321" s="13"/>
      <c r="X1321" s="13"/>
      <c r="Y1321" s="13"/>
      <c r="Z1321" s="13"/>
    </row>
    <row r="1322" spans="1:26" s="9" customFormat="1" ht="15.75">
      <c r="A1322" s="32" t="s">
        <v>164</v>
      </c>
      <c r="B1322" s="21">
        <v>19</v>
      </c>
      <c r="C1322" s="21">
        <v>11</v>
      </c>
      <c r="D1322" s="21">
        <v>25</v>
      </c>
      <c r="E1322" s="21">
        <v>19</v>
      </c>
      <c r="F1322" s="21">
        <v>12</v>
      </c>
      <c r="G1322" s="21">
        <v>27</v>
      </c>
      <c r="H1322" s="21">
        <f>1+18+6</f>
        <v>25</v>
      </c>
      <c r="I1322" s="21">
        <v>19</v>
      </c>
      <c r="J1322" s="21">
        <f>1+15+3</f>
        <v>19</v>
      </c>
      <c r="K1322" s="21">
        <f>9+1</f>
        <v>10</v>
      </c>
      <c r="L1322" s="21">
        <v>14</v>
      </c>
      <c r="M1322" s="21">
        <f>1+10</f>
        <v>11</v>
      </c>
      <c r="N1322" s="150">
        <f t="shared" si="1951"/>
        <v>211</v>
      </c>
      <c r="O1322" s="22">
        <f t="shared" si="1952"/>
        <v>17.583333333333332</v>
      </c>
      <c r="P1322" s="13"/>
      <c r="Q1322" s="13"/>
      <c r="R1322" s="13"/>
      <c r="S1322" s="13"/>
      <c r="T1322" s="13"/>
      <c r="U1322" s="13"/>
      <c r="V1322" s="13"/>
      <c r="W1322" s="13"/>
      <c r="X1322" s="13"/>
      <c r="Y1322" s="13"/>
      <c r="Z1322" s="13"/>
    </row>
    <row r="1323" spans="1:26" s="9" customFormat="1" ht="15.75">
      <c r="A1323" s="32" t="s">
        <v>22</v>
      </c>
      <c r="B1323" s="21">
        <v>0</v>
      </c>
      <c r="C1323" s="21">
        <v>0</v>
      </c>
      <c r="D1323" s="21">
        <v>0</v>
      </c>
      <c r="E1323" s="21">
        <v>0</v>
      </c>
      <c r="F1323" s="21">
        <v>0</v>
      </c>
      <c r="G1323" s="21">
        <v>0</v>
      </c>
      <c r="H1323" s="21">
        <v>0</v>
      </c>
      <c r="I1323" s="21">
        <v>0</v>
      </c>
      <c r="J1323" s="21">
        <v>0</v>
      </c>
      <c r="K1323" s="21">
        <v>0</v>
      </c>
      <c r="L1323" s="21">
        <v>0</v>
      </c>
      <c r="M1323" s="21">
        <v>0</v>
      </c>
      <c r="N1323" s="150">
        <f t="shared" ref="N1323" si="1953">SUM(B1323:M1323)</f>
        <v>0</v>
      </c>
      <c r="O1323" s="22">
        <f t="shared" ref="O1323" si="1954">IF(N1323=0,0,AVERAGE(B1323:M1323))</f>
        <v>0</v>
      </c>
      <c r="P1323" s="13"/>
      <c r="Q1323" s="13"/>
      <c r="R1323" s="13"/>
      <c r="S1323" s="13"/>
      <c r="T1323" s="13"/>
      <c r="U1323" s="13"/>
      <c r="V1323" s="13"/>
      <c r="W1323" s="13"/>
      <c r="X1323" s="13"/>
      <c r="Y1323" s="13"/>
      <c r="Z1323" s="13"/>
    </row>
    <row r="1324" spans="1:26" s="9" customFormat="1" ht="15.75">
      <c r="A1324" s="62" t="s">
        <v>21</v>
      </c>
      <c r="B1324" s="24">
        <f>SUM(B1310:B1323)</f>
        <v>69</v>
      </c>
      <c r="C1324" s="24">
        <f t="shared" ref="C1324:D1324" si="1955">SUM(C1310:C1323)</f>
        <v>43</v>
      </c>
      <c r="D1324" s="24">
        <f t="shared" si="1955"/>
        <v>52</v>
      </c>
      <c r="E1324" s="24">
        <f t="shared" ref="E1324:F1324" si="1956">SUM(E1310:E1323)</f>
        <v>30</v>
      </c>
      <c r="F1324" s="24">
        <f t="shared" si="1956"/>
        <v>33</v>
      </c>
      <c r="G1324" s="24">
        <f>SUM(G1310:G1323)</f>
        <v>63</v>
      </c>
      <c r="H1324" s="24">
        <f>SUM(H1310:H1323)</f>
        <v>81</v>
      </c>
      <c r="I1324" s="24">
        <f>SUM(I1310:I1323)</f>
        <v>64</v>
      </c>
      <c r="J1324" s="24">
        <f t="shared" ref="J1324:K1324" si="1957">SUM(J1310:J1323)</f>
        <v>55</v>
      </c>
      <c r="K1324" s="24">
        <f t="shared" si="1957"/>
        <v>29</v>
      </c>
      <c r="L1324" s="24">
        <f t="shared" ref="L1324:M1324" si="1958">SUM(L1310:L1323)</f>
        <v>44</v>
      </c>
      <c r="M1324" s="24">
        <f t="shared" si="1958"/>
        <v>36</v>
      </c>
      <c r="N1324" s="144">
        <f>SUM(N1310:N1322)</f>
        <v>599</v>
      </c>
      <c r="O1324" s="25">
        <f>SUM(O1310:O1322)</f>
        <v>49.916666666666671</v>
      </c>
      <c r="P1324" s="8"/>
      <c r="Q1324" s="8"/>
      <c r="R1324" s="8"/>
      <c r="S1324" s="8"/>
      <c r="T1324" s="8"/>
      <c r="U1324" s="8"/>
      <c r="V1324" s="8"/>
      <c r="W1324" s="8"/>
      <c r="X1324" s="8"/>
      <c r="Y1324" s="8"/>
      <c r="Z1324" s="8"/>
    </row>
    <row r="1325" spans="1:26" s="9" customFormat="1" ht="15.75">
      <c r="A1325" s="62" t="s">
        <v>112</v>
      </c>
      <c r="B1325" s="25">
        <f>IF(B1324=0,"",B1324/B$1870)</f>
        <v>2.225806451612903</v>
      </c>
      <c r="C1325" s="25">
        <f>IF(C1324=0,"",C1324/C$1870)</f>
        <v>1.5357142857142858</v>
      </c>
      <c r="D1325" s="25">
        <f>IF(D1324=0,"",D1324/D$1870)</f>
        <v>1.6774193548387097</v>
      </c>
      <c r="E1325" s="25">
        <f>IF(E1324=0,"",E1324/E$1870)</f>
        <v>1</v>
      </c>
      <c r="F1325" s="25">
        <f>IF(F1324=0,"",F1324/F$1870)</f>
        <v>1.064516129032258</v>
      </c>
      <c r="G1325" s="25">
        <f t="shared" ref="G1325:H1325" si="1959">IF(G1324=0,"",G1324/G$1870)</f>
        <v>2.1</v>
      </c>
      <c r="H1325" s="25">
        <f t="shared" si="1959"/>
        <v>2.6129032258064515</v>
      </c>
      <c r="I1325" s="25">
        <f t="shared" ref="I1325" si="1960">IF(I1324=0,"",I1324/I$1870)</f>
        <v>2.064516129032258</v>
      </c>
      <c r="J1325" s="25">
        <f t="shared" ref="J1325" si="1961">IF(J1324=0,"",J1324/J$1870)</f>
        <v>1.8333333333333333</v>
      </c>
      <c r="K1325" s="25">
        <f t="shared" ref="K1325" si="1962">IF(K1324=0,"",K1324/K$1870)</f>
        <v>0.93548387096774188</v>
      </c>
      <c r="L1325" s="25">
        <f t="shared" ref="L1325:M1325" si="1963">IF(L1324=0,"",L1324/L$1870)</f>
        <v>1.4666666666666666</v>
      </c>
      <c r="M1325" s="25">
        <f t="shared" si="1963"/>
        <v>1.1612903225806452</v>
      </c>
      <c r="N1325" s="144">
        <f>SUM(B1325:M1325)</f>
        <v>19.677649769585248</v>
      </c>
      <c r="O1325" s="25">
        <f>IF(N1325=0,0,AVERAGE(B1325:M1325))</f>
        <v>1.6398041474654372</v>
      </c>
      <c r="P1325" s="13"/>
      <c r="Q1325" s="13"/>
      <c r="R1325" s="13"/>
      <c r="S1325" s="13"/>
      <c r="T1325" s="13"/>
      <c r="U1325" s="13"/>
      <c r="V1325" s="13"/>
      <c r="W1325" s="13"/>
      <c r="X1325" s="13"/>
      <c r="Y1325" s="13"/>
      <c r="Z1325" s="13"/>
    </row>
    <row r="1326" spans="1:26" s="9" customFormat="1">
      <c r="A1326" s="26"/>
      <c r="B1326" s="27"/>
      <c r="C1326" s="27"/>
      <c r="D1326" s="27"/>
      <c r="E1326" s="28"/>
      <c r="F1326" s="28"/>
      <c r="G1326" s="28"/>
      <c r="H1326" s="28"/>
      <c r="I1326" s="28"/>
      <c r="J1326" s="28"/>
      <c r="K1326" s="28"/>
      <c r="L1326" s="28"/>
      <c r="M1326" s="28"/>
      <c r="N1326" s="151"/>
      <c r="O1326" s="16"/>
      <c r="P1326" s="8"/>
      <c r="Q1326" s="8"/>
      <c r="R1326" s="8"/>
      <c r="S1326" s="8"/>
      <c r="T1326" s="8"/>
      <c r="U1326" s="8"/>
      <c r="V1326" s="8"/>
      <c r="W1326" s="8"/>
      <c r="X1326" s="8"/>
      <c r="Y1326" s="8"/>
      <c r="Z1326" s="8"/>
    </row>
    <row r="1327" spans="1:26" s="9" customFormat="1" ht="15.75">
      <c r="A1327" s="66" t="s">
        <v>624</v>
      </c>
      <c r="B1327" s="18"/>
      <c r="C1327" s="18"/>
      <c r="D1327" s="18"/>
      <c r="E1327" s="18"/>
      <c r="F1327" s="18"/>
      <c r="G1327" s="18"/>
      <c r="H1327" s="18"/>
      <c r="I1327" s="18"/>
      <c r="J1327" s="18"/>
      <c r="K1327" s="18"/>
      <c r="L1327" s="18"/>
      <c r="M1327" s="18"/>
      <c r="N1327" s="149"/>
      <c r="O1327" s="19"/>
      <c r="P1327" s="8"/>
      <c r="Q1327" s="8"/>
      <c r="R1327" s="8"/>
      <c r="S1327" s="8"/>
      <c r="T1327" s="8"/>
      <c r="U1327" s="8"/>
      <c r="V1327" s="8"/>
      <c r="W1327" s="8"/>
      <c r="X1327" s="8"/>
      <c r="Y1327" s="8"/>
      <c r="Z1327" s="8"/>
    </row>
    <row r="1328" spans="1:26" s="9" customFormat="1" ht="15.75">
      <c r="A1328" s="40" t="s">
        <v>18</v>
      </c>
      <c r="B1328" s="322">
        <v>7</v>
      </c>
      <c r="C1328" s="322">
        <v>9</v>
      </c>
      <c r="D1328" s="322">
        <v>14</v>
      </c>
      <c r="E1328" s="322">
        <v>0</v>
      </c>
      <c r="F1328" s="21">
        <v>2</v>
      </c>
      <c r="G1328" s="21">
        <v>15</v>
      </c>
      <c r="H1328" s="21">
        <v>11</v>
      </c>
      <c r="I1328" s="21">
        <v>8</v>
      </c>
      <c r="J1328" s="21">
        <v>19</v>
      </c>
      <c r="K1328" s="21">
        <v>2</v>
      </c>
      <c r="L1328" s="21">
        <v>13</v>
      </c>
      <c r="M1328" s="21">
        <v>17</v>
      </c>
      <c r="N1328" s="150">
        <f>SUM(B1328:M1328)</f>
        <v>117</v>
      </c>
      <c r="O1328" s="22">
        <f>IF(N1328=0,0,AVERAGE(B1328:M1328))</f>
        <v>9.75</v>
      </c>
      <c r="P1328" s="8"/>
      <c r="Q1328" s="8"/>
      <c r="R1328" s="8"/>
      <c r="S1328" s="8"/>
      <c r="T1328" s="8"/>
      <c r="U1328" s="8"/>
      <c r="V1328" s="8"/>
      <c r="W1328" s="8"/>
      <c r="X1328" s="8"/>
      <c r="Y1328" s="8"/>
      <c r="Z1328" s="8"/>
    </row>
    <row r="1329" spans="1:26" s="9" customFormat="1" ht="15.75">
      <c r="A1329" s="40" t="s">
        <v>19</v>
      </c>
      <c r="B1329" s="322">
        <v>51</v>
      </c>
      <c r="C1329" s="322">
        <v>31</v>
      </c>
      <c r="D1329" s="322">
        <v>35</v>
      </c>
      <c r="E1329" s="322">
        <v>28</v>
      </c>
      <c r="F1329" s="21">
        <v>23</v>
      </c>
      <c r="G1329" s="21">
        <v>38</v>
      </c>
      <c r="H1329" s="21">
        <v>47</v>
      </c>
      <c r="I1329" s="21">
        <v>46</v>
      </c>
      <c r="J1329" s="21">
        <v>30</v>
      </c>
      <c r="K1329" s="21">
        <v>26</v>
      </c>
      <c r="L1329" s="21">
        <v>26</v>
      </c>
      <c r="M1329" s="21">
        <v>17</v>
      </c>
      <c r="N1329" s="150">
        <f>SUM(B1329:M1329)</f>
        <v>398</v>
      </c>
      <c r="O1329" s="22">
        <f>IF(N1329=0,0,AVERAGE(B1329:M1329))</f>
        <v>33.166666666666664</v>
      </c>
      <c r="P1329" s="8"/>
      <c r="Q1329" s="8"/>
      <c r="R1329" s="8"/>
      <c r="S1329" s="8"/>
      <c r="T1329" s="8"/>
      <c r="U1329" s="8"/>
      <c r="V1329" s="8"/>
      <c r="W1329" s="8"/>
      <c r="X1329" s="8"/>
      <c r="Y1329" s="8"/>
      <c r="Z1329" s="8"/>
    </row>
    <row r="1330" spans="1:26" s="9" customFormat="1" ht="15.75">
      <c r="A1330" s="40" t="s">
        <v>20</v>
      </c>
      <c r="B1330" s="322">
        <v>11</v>
      </c>
      <c r="C1330" s="322">
        <v>3</v>
      </c>
      <c r="D1330" s="322">
        <v>3</v>
      </c>
      <c r="E1330" s="322">
        <v>2</v>
      </c>
      <c r="F1330" s="21">
        <v>8</v>
      </c>
      <c r="G1330" s="21">
        <v>10</v>
      </c>
      <c r="H1330" s="21">
        <v>23</v>
      </c>
      <c r="I1330" s="21">
        <v>10</v>
      </c>
      <c r="J1330" s="21">
        <v>6</v>
      </c>
      <c r="K1330" s="21">
        <v>1</v>
      </c>
      <c r="L1330" s="21">
        <v>5</v>
      </c>
      <c r="M1330" s="21">
        <v>2</v>
      </c>
      <c r="N1330" s="150">
        <f>SUM(B1330:M1330)</f>
        <v>84</v>
      </c>
      <c r="O1330" s="22">
        <f>IF(N1330=0,0,AVERAGE(B1330:M1330))</f>
        <v>7</v>
      </c>
      <c r="P1330" s="13"/>
      <c r="Q1330" s="13"/>
      <c r="R1330" s="13"/>
      <c r="S1330" s="13"/>
      <c r="T1330" s="13"/>
      <c r="U1330" s="13"/>
      <c r="V1330" s="13"/>
      <c r="W1330" s="13"/>
      <c r="X1330" s="13"/>
      <c r="Y1330" s="13"/>
      <c r="Z1330" s="13"/>
    </row>
    <row r="1331" spans="1:26" s="9" customFormat="1" ht="15.75">
      <c r="A1331" s="62" t="s">
        <v>21</v>
      </c>
      <c r="B1331" s="24">
        <f t="shared" ref="B1331:G1331" si="1964">SUM(B1328:B1330)</f>
        <v>69</v>
      </c>
      <c r="C1331" s="24">
        <f t="shared" si="1964"/>
        <v>43</v>
      </c>
      <c r="D1331" s="24">
        <f t="shared" si="1964"/>
        <v>52</v>
      </c>
      <c r="E1331" s="24">
        <f t="shared" si="1964"/>
        <v>30</v>
      </c>
      <c r="F1331" s="24">
        <f t="shared" si="1964"/>
        <v>33</v>
      </c>
      <c r="G1331" s="24">
        <f t="shared" si="1964"/>
        <v>63</v>
      </c>
      <c r="H1331" s="24">
        <f t="shared" ref="H1331:I1331" si="1965">SUM(H1328:H1330)</f>
        <v>81</v>
      </c>
      <c r="I1331" s="24">
        <f t="shared" si="1965"/>
        <v>64</v>
      </c>
      <c r="J1331" s="24">
        <f t="shared" ref="J1331:K1331" si="1966">SUM(J1328:J1330)</f>
        <v>55</v>
      </c>
      <c r="K1331" s="24">
        <f t="shared" si="1966"/>
        <v>29</v>
      </c>
      <c r="L1331" s="24">
        <f t="shared" ref="L1331:M1331" si="1967">SUM(L1328:L1330)</f>
        <v>44</v>
      </c>
      <c r="M1331" s="24">
        <f t="shared" si="1967"/>
        <v>36</v>
      </c>
      <c r="N1331" s="144">
        <f>SUM(N1328:N1330)</f>
        <v>599</v>
      </c>
      <c r="O1331" s="25">
        <f>SUM(O1328:O1330)</f>
        <v>49.916666666666664</v>
      </c>
      <c r="P1331" s="8"/>
      <c r="Q1331" s="8"/>
      <c r="R1331" s="8"/>
      <c r="S1331" s="8"/>
      <c r="T1331" s="8"/>
      <c r="U1331" s="8"/>
      <c r="V1331" s="8"/>
      <c r="W1331" s="8"/>
      <c r="X1331" s="8"/>
      <c r="Y1331" s="8"/>
      <c r="Z1331" s="8"/>
    </row>
    <row r="1332" spans="1:26" s="9" customFormat="1" ht="15.75">
      <c r="A1332" s="62" t="s">
        <v>112</v>
      </c>
      <c r="B1332" s="25">
        <f t="shared" ref="B1332:F1332" si="1968">IF(B1331=0,"",B1331/B$1870)</f>
        <v>2.225806451612903</v>
      </c>
      <c r="C1332" s="25">
        <f t="shared" si="1968"/>
        <v>1.5357142857142858</v>
      </c>
      <c r="D1332" s="25">
        <f t="shared" si="1968"/>
        <v>1.6774193548387097</v>
      </c>
      <c r="E1332" s="25">
        <f t="shared" si="1968"/>
        <v>1</v>
      </c>
      <c r="F1332" s="25">
        <f t="shared" si="1968"/>
        <v>1.064516129032258</v>
      </c>
      <c r="G1332" s="25">
        <f t="shared" ref="G1332:H1332" si="1969">IF(G1331=0,"",G1331/G$1870)</f>
        <v>2.1</v>
      </c>
      <c r="H1332" s="25">
        <f t="shared" si="1969"/>
        <v>2.6129032258064515</v>
      </c>
      <c r="I1332" s="25">
        <f t="shared" ref="I1332:J1332" si="1970">IF(I1331=0,"",I1331/I$1870)</f>
        <v>2.064516129032258</v>
      </c>
      <c r="J1332" s="25">
        <f t="shared" si="1970"/>
        <v>1.8333333333333333</v>
      </c>
      <c r="K1332" s="25">
        <f t="shared" ref="K1332:L1332" si="1971">IF(K1331=0,"",K1331/K$1870)</f>
        <v>0.93548387096774188</v>
      </c>
      <c r="L1332" s="25">
        <f t="shared" si="1971"/>
        <v>1.4666666666666666</v>
      </c>
      <c r="M1332" s="25">
        <f t="shared" ref="M1332" si="1972">IF(M1331=0,"",M1331/M$1870)</f>
        <v>1.1612903225806452</v>
      </c>
      <c r="N1332" s="144">
        <f>SUM(B1332:M1332)</f>
        <v>19.677649769585248</v>
      </c>
      <c r="O1332" s="25">
        <f>IF(N1332=0,0,AVERAGE(B1332:M1332))</f>
        <v>1.6398041474654372</v>
      </c>
      <c r="P1332" s="8"/>
      <c r="Q1332" s="8"/>
      <c r="R1332" s="8"/>
      <c r="S1332" s="8"/>
      <c r="T1332" s="8"/>
      <c r="U1332" s="8"/>
      <c r="V1332" s="8"/>
      <c r="W1332" s="8"/>
      <c r="X1332" s="8"/>
      <c r="Y1332" s="8"/>
      <c r="Z1332" s="8"/>
    </row>
    <row r="1333" spans="1:26" s="9" customFormat="1">
      <c r="A1333" s="26"/>
      <c r="B1333" s="27"/>
      <c r="C1333" s="27"/>
      <c r="D1333" s="27"/>
      <c r="E1333" s="28"/>
      <c r="F1333" s="28"/>
      <c r="G1333" s="28"/>
      <c r="H1333" s="28"/>
      <c r="I1333" s="28"/>
      <c r="J1333" s="28"/>
      <c r="K1333" s="28"/>
      <c r="L1333" s="28"/>
      <c r="M1333" s="28"/>
      <c r="N1333" s="151"/>
      <c r="O1333" s="16"/>
      <c r="P1333" s="8"/>
      <c r="Q1333" s="8"/>
      <c r="R1333" s="8"/>
      <c r="S1333" s="8"/>
      <c r="T1333" s="8"/>
      <c r="U1333" s="8"/>
      <c r="V1333" s="8"/>
      <c r="W1333" s="8"/>
      <c r="X1333" s="8"/>
      <c r="Y1333" s="8"/>
      <c r="Z1333" s="8"/>
    </row>
    <row r="1334" spans="1:26" s="9" customFormat="1" ht="15.75">
      <c r="A1334" s="66" t="s">
        <v>625</v>
      </c>
      <c r="B1334" s="18"/>
      <c r="C1334" s="18"/>
      <c r="D1334" s="18"/>
      <c r="E1334" s="18"/>
      <c r="F1334" s="18"/>
      <c r="G1334" s="18"/>
      <c r="H1334" s="18"/>
      <c r="I1334" s="18"/>
      <c r="J1334" s="18"/>
      <c r="K1334" s="18"/>
      <c r="L1334" s="18"/>
      <c r="M1334" s="18"/>
      <c r="N1334" s="149"/>
      <c r="O1334" s="19"/>
      <c r="P1334" s="8"/>
      <c r="Q1334" s="8"/>
      <c r="R1334" s="8"/>
      <c r="S1334" s="8"/>
      <c r="T1334" s="8"/>
      <c r="U1334" s="8"/>
      <c r="V1334" s="8"/>
      <c r="W1334" s="8"/>
      <c r="X1334" s="8"/>
      <c r="Y1334" s="8"/>
      <c r="Z1334" s="8"/>
    </row>
    <row r="1335" spans="1:26" s="9" customFormat="1" ht="15.75">
      <c r="A1335" s="32" t="s">
        <v>173</v>
      </c>
      <c r="B1335" s="21">
        <v>20</v>
      </c>
      <c r="C1335" s="21">
        <v>19</v>
      </c>
      <c r="D1335" s="21">
        <v>12</v>
      </c>
      <c r="E1335" s="21">
        <v>6</v>
      </c>
      <c r="F1335" s="21">
        <v>14</v>
      </c>
      <c r="G1335" s="21">
        <v>13</v>
      </c>
      <c r="H1335" s="21">
        <v>10</v>
      </c>
      <c r="I1335" s="21">
        <v>12</v>
      </c>
      <c r="J1335" s="21">
        <v>17</v>
      </c>
      <c r="K1335" s="21">
        <v>23</v>
      </c>
      <c r="L1335" s="21">
        <v>18</v>
      </c>
      <c r="M1335" s="21">
        <v>21</v>
      </c>
      <c r="N1335" s="150">
        <f t="shared" ref="N1335:N1347" si="1973">SUM(B1335:M1335)</f>
        <v>185</v>
      </c>
      <c r="O1335" s="22">
        <f t="shared" ref="O1335:O1347" si="1974">IF(N1335=0,0,AVERAGE(B1335:M1335))</f>
        <v>15.416666666666666</v>
      </c>
      <c r="P1335" s="8"/>
      <c r="Q1335" s="8"/>
      <c r="R1335" s="8"/>
      <c r="S1335" s="8"/>
      <c r="T1335" s="8"/>
      <c r="U1335" s="8"/>
      <c r="V1335" s="8"/>
      <c r="W1335" s="8"/>
      <c r="X1335" s="8"/>
      <c r="Y1335" s="8"/>
      <c r="Z1335" s="8"/>
    </row>
    <row r="1336" spans="1:26" s="9" customFormat="1" ht="15.75">
      <c r="A1336" s="32" t="s">
        <v>683</v>
      </c>
      <c r="B1336" s="21">
        <v>2</v>
      </c>
      <c r="C1336" s="21">
        <v>0</v>
      </c>
      <c r="D1336" s="21">
        <v>0</v>
      </c>
      <c r="E1336" s="21">
        <v>1</v>
      </c>
      <c r="F1336" s="21">
        <v>0</v>
      </c>
      <c r="G1336" s="21">
        <v>1</v>
      </c>
      <c r="H1336" s="21">
        <v>0</v>
      </c>
      <c r="I1336" s="21">
        <v>1</v>
      </c>
      <c r="J1336" s="21">
        <v>3</v>
      </c>
      <c r="K1336" s="21">
        <v>1</v>
      </c>
      <c r="L1336" s="21">
        <v>1</v>
      </c>
      <c r="M1336" s="21">
        <v>0</v>
      </c>
      <c r="N1336" s="150">
        <f t="shared" si="1973"/>
        <v>10</v>
      </c>
      <c r="O1336" s="22">
        <f t="shared" si="1974"/>
        <v>0.83333333333333337</v>
      </c>
      <c r="P1336" s="8"/>
      <c r="Q1336" s="8"/>
      <c r="R1336" s="8"/>
      <c r="S1336" s="8"/>
      <c r="T1336" s="8"/>
      <c r="U1336" s="8"/>
      <c r="V1336" s="8"/>
      <c r="W1336" s="8"/>
      <c r="X1336" s="8"/>
      <c r="Y1336" s="8"/>
      <c r="Z1336" s="8"/>
    </row>
    <row r="1337" spans="1:26" s="9" customFormat="1" ht="15.75">
      <c r="A1337" s="32" t="s">
        <v>684</v>
      </c>
      <c r="B1337" s="21">
        <v>1</v>
      </c>
      <c r="C1337" s="21">
        <v>0</v>
      </c>
      <c r="D1337" s="21">
        <v>0</v>
      </c>
      <c r="E1337" s="21">
        <v>0</v>
      </c>
      <c r="F1337" s="21">
        <v>0</v>
      </c>
      <c r="G1337" s="21">
        <v>0</v>
      </c>
      <c r="H1337" s="21">
        <v>0</v>
      </c>
      <c r="I1337" s="21">
        <v>0</v>
      </c>
      <c r="J1337" s="21">
        <v>0</v>
      </c>
      <c r="K1337" s="21">
        <v>1</v>
      </c>
      <c r="L1337" s="21">
        <v>1</v>
      </c>
      <c r="M1337" s="21">
        <v>1</v>
      </c>
      <c r="N1337" s="150">
        <f t="shared" si="1973"/>
        <v>4</v>
      </c>
      <c r="O1337" s="22">
        <f t="shared" si="1974"/>
        <v>0.33333333333333331</v>
      </c>
      <c r="P1337" s="13"/>
      <c r="Q1337" s="13"/>
      <c r="R1337" s="13"/>
      <c r="S1337" s="13"/>
      <c r="T1337" s="13"/>
      <c r="U1337" s="13"/>
      <c r="V1337" s="13"/>
      <c r="W1337" s="13"/>
      <c r="X1337" s="13"/>
      <c r="Y1337" s="13"/>
      <c r="Z1337" s="13"/>
    </row>
    <row r="1338" spans="1:26" s="9" customFormat="1" ht="15.75">
      <c r="A1338" s="32" t="s">
        <v>157</v>
      </c>
      <c r="B1338" s="21">
        <v>1</v>
      </c>
      <c r="C1338" s="21">
        <v>1</v>
      </c>
      <c r="D1338" s="21">
        <v>2</v>
      </c>
      <c r="E1338" s="21">
        <v>1</v>
      </c>
      <c r="F1338" s="21">
        <v>2</v>
      </c>
      <c r="G1338" s="21">
        <v>0</v>
      </c>
      <c r="H1338" s="21">
        <v>4</v>
      </c>
      <c r="I1338" s="21">
        <v>3</v>
      </c>
      <c r="J1338" s="21">
        <v>3</v>
      </c>
      <c r="K1338" s="21">
        <v>2</v>
      </c>
      <c r="L1338" s="21">
        <v>2</v>
      </c>
      <c r="M1338" s="21">
        <v>2</v>
      </c>
      <c r="N1338" s="150">
        <f t="shared" si="1973"/>
        <v>23</v>
      </c>
      <c r="O1338" s="22">
        <f t="shared" si="1974"/>
        <v>1.9166666666666667</v>
      </c>
      <c r="P1338" s="8"/>
      <c r="Q1338" s="8"/>
      <c r="R1338" s="8"/>
      <c r="S1338" s="8"/>
      <c r="T1338" s="8"/>
      <c r="U1338" s="8"/>
      <c r="V1338" s="8"/>
      <c r="W1338" s="8"/>
      <c r="X1338" s="8"/>
      <c r="Y1338" s="8"/>
      <c r="Z1338" s="8"/>
    </row>
    <row r="1339" spans="1:26" s="9" customFormat="1" ht="15.75">
      <c r="A1339" s="32" t="s">
        <v>678</v>
      </c>
      <c r="B1339" s="21">
        <v>10</v>
      </c>
      <c r="C1339" s="21">
        <v>12</v>
      </c>
      <c r="D1339" s="21">
        <v>4</v>
      </c>
      <c r="E1339" s="21">
        <v>5</v>
      </c>
      <c r="F1339" s="21">
        <v>3</v>
      </c>
      <c r="G1339" s="21">
        <v>4</v>
      </c>
      <c r="H1339" s="21">
        <v>7</v>
      </c>
      <c r="I1339" s="21">
        <v>4</v>
      </c>
      <c r="J1339" s="21">
        <v>7</v>
      </c>
      <c r="K1339" s="21">
        <v>5</v>
      </c>
      <c r="L1339" s="21">
        <v>12</v>
      </c>
      <c r="M1339" s="21">
        <v>3</v>
      </c>
      <c r="N1339" s="150">
        <f t="shared" si="1973"/>
        <v>76</v>
      </c>
      <c r="O1339" s="22">
        <f t="shared" si="1974"/>
        <v>6.333333333333333</v>
      </c>
      <c r="P1339" s="8"/>
      <c r="Q1339" s="8"/>
      <c r="R1339" s="8"/>
      <c r="S1339" s="8"/>
      <c r="T1339" s="8"/>
      <c r="U1339" s="8"/>
      <c r="V1339" s="8"/>
      <c r="W1339" s="8"/>
      <c r="X1339" s="8"/>
      <c r="Y1339" s="8"/>
      <c r="Z1339" s="8"/>
    </row>
    <row r="1340" spans="1:26" s="9" customFormat="1" ht="15.75">
      <c r="A1340" s="32" t="s">
        <v>411</v>
      </c>
      <c r="B1340" s="21">
        <v>0</v>
      </c>
      <c r="C1340" s="21">
        <v>2</v>
      </c>
      <c r="D1340" s="21">
        <v>0</v>
      </c>
      <c r="E1340" s="21">
        <v>0</v>
      </c>
      <c r="F1340" s="21">
        <v>0</v>
      </c>
      <c r="G1340" s="21">
        <v>1</v>
      </c>
      <c r="H1340" s="21">
        <v>0</v>
      </c>
      <c r="I1340" s="21">
        <v>1</v>
      </c>
      <c r="J1340" s="21">
        <v>3</v>
      </c>
      <c r="K1340" s="21">
        <v>0</v>
      </c>
      <c r="L1340" s="21">
        <v>3</v>
      </c>
      <c r="M1340" s="21">
        <v>0</v>
      </c>
      <c r="N1340" s="150">
        <f t="shared" si="1973"/>
        <v>10</v>
      </c>
      <c r="O1340" s="22">
        <f t="shared" si="1974"/>
        <v>0.83333333333333337</v>
      </c>
      <c r="P1340" s="8"/>
      <c r="Q1340" s="8"/>
      <c r="R1340" s="8"/>
      <c r="S1340" s="8"/>
      <c r="T1340" s="8"/>
      <c r="U1340" s="8"/>
      <c r="V1340" s="8"/>
      <c r="W1340" s="8"/>
      <c r="X1340" s="8"/>
      <c r="Y1340" s="8"/>
      <c r="Z1340" s="8"/>
    </row>
    <row r="1341" spans="1:26" s="9" customFormat="1" ht="15.75">
      <c r="A1341" s="32" t="s">
        <v>159</v>
      </c>
      <c r="B1341" s="21">
        <v>5</v>
      </c>
      <c r="C1341" s="21">
        <v>10</v>
      </c>
      <c r="D1341" s="21">
        <v>11</v>
      </c>
      <c r="E1341" s="21">
        <v>8</v>
      </c>
      <c r="F1341" s="21">
        <v>8</v>
      </c>
      <c r="G1341" s="21">
        <v>11</v>
      </c>
      <c r="H1341" s="21">
        <v>7</v>
      </c>
      <c r="I1341" s="21">
        <v>11</v>
      </c>
      <c r="J1341" s="21">
        <v>12</v>
      </c>
      <c r="K1341" s="21">
        <v>5</v>
      </c>
      <c r="L1341" s="21">
        <v>8</v>
      </c>
      <c r="M1341" s="21">
        <v>13</v>
      </c>
      <c r="N1341" s="150">
        <f t="shared" si="1973"/>
        <v>109</v>
      </c>
      <c r="O1341" s="22">
        <f t="shared" si="1974"/>
        <v>9.0833333333333339</v>
      </c>
      <c r="P1341" s="8"/>
      <c r="Q1341" s="8"/>
      <c r="R1341" s="8"/>
      <c r="S1341" s="8"/>
      <c r="T1341" s="8"/>
      <c r="U1341" s="8"/>
      <c r="V1341" s="8"/>
      <c r="W1341" s="8"/>
      <c r="X1341" s="8"/>
      <c r="Y1341" s="8"/>
      <c r="Z1341" s="8"/>
    </row>
    <row r="1342" spans="1:26" s="9" customFormat="1" ht="15.75">
      <c r="A1342" s="32" t="s">
        <v>174</v>
      </c>
      <c r="B1342" s="21">
        <v>3</v>
      </c>
      <c r="C1342" s="21">
        <v>0</v>
      </c>
      <c r="D1342" s="21">
        <v>2</v>
      </c>
      <c r="E1342" s="21">
        <v>0</v>
      </c>
      <c r="F1342" s="21">
        <v>0</v>
      </c>
      <c r="G1342" s="21">
        <v>1</v>
      </c>
      <c r="H1342" s="21">
        <v>0</v>
      </c>
      <c r="I1342" s="21">
        <v>1</v>
      </c>
      <c r="J1342" s="21">
        <v>0</v>
      </c>
      <c r="K1342" s="21">
        <v>0</v>
      </c>
      <c r="L1342" s="21">
        <v>0</v>
      </c>
      <c r="M1342" s="21">
        <v>0</v>
      </c>
      <c r="N1342" s="150">
        <f t="shared" si="1973"/>
        <v>7</v>
      </c>
      <c r="O1342" s="22">
        <f t="shared" si="1974"/>
        <v>0.58333333333333337</v>
      </c>
      <c r="P1342" s="8"/>
      <c r="Q1342" s="8"/>
      <c r="R1342" s="8"/>
      <c r="S1342" s="8"/>
      <c r="T1342" s="8"/>
      <c r="U1342" s="8"/>
      <c r="V1342" s="8"/>
      <c r="W1342" s="8"/>
      <c r="X1342" s="8"/>
      <c r="Y1342" s="8"/>
      <c r="Z1342" s="8"/>
    </row>
    <row r="1343" spans="1:26" s="9" customFormat="1" ht="15.75">
      <c r="A1343" s="32" t="s">
        <v>831</v>
      </c>
      <c r="B1343" s="21">
        <v>16</v>
      </c>
      <c r="C1343" s="21">
        <v>16</v>
      </c>
      <c r="D1343" s="21">
        <v>12</v>
      </c>
      <c r="E1343" s="21">
        <v>6</v>
      </c>
      <c r="F1343" s="21">
        <v>11</v>
      </c>
      <c r="G1343" s="21">
        <v>11</v>
      </c>
      <c r="H1343" s="21">
        <v>8</v>
      </c>
      <c r="I1343" s="21">
        <v>15</v>
      </c>
      <c r="J1343" s="21">
        <v>16</v>
      </c>
      <c r="K1343" s="21">
        <v>17</v>
      </c>
      <c r="L1343" s="21">
        <v>17</v>
      </c>
      <c r="M1343" s="21">
        <v>17</v>
      </c>
      <c r="N1343" s="150">
        <f t="shared" si="1973"/>
        <v>162</v>
      </c>
      <c r="O1343" s="22">
        <f t="shared" si="1974"/>
        <v>13.5</v>
      </c>
      <c r="P1343" s="8"/>
      <c r="Q1343" s="8"/>
      <c r="R1343" s="8"/>
      <c r="S1343" s="8"/>
      <c r="T1343" s="8"/>
      <c r="U1343" s="8"/>
      <c r="V1343" s="8"/>
      <c r="W1343" s="8"/>
      <c r="X1343" s="8"/>
      <c r="Y1343" s="8"/>
      <c r="Z1343" s="8"/>
    </row>
    <row r="1344" spans="1:26" s="9" customFormat="1" ht="15.75">
      <c r="A1344" s="32" t="s">
        <v>299</v>
      </c>
      <c r="B1344" s="21">
        <v>6</v>
      </c>
      <c r="C1344" s="21">
        <v>4</v>
      </c>
      <c r="D1344" s="21">
        <v>0</v>
      </c>
      <c r="E1344" s="21">
        <v>1</v>
      </c>
      <c r="F1344" s="21">
        <v>0</v>
      </c>
      <c r="G1344" s="21">
        <v>8</v>
      </c>
      <c r="H1344" s="21">
        <v>1</v>
      </c>
      <c r="I1344" s="21">
        <v>4</v>
      </c>
      <c r="J1344" s="21">
        <v>6</v>
      </c>
      <c r="K1344" s="21">
        <v>6</v>
      </c>
      <c r="L1344" s="21">
        <v>3</v>
      </c>
      <c r="M1344" s="21">
        <v>2</v>
      </c>
      <c r="N1344" s="150">
        <f t="shared" si="1973"/>
        <v>41</v>
      </c>
      <c r="O1344" s="22">
        <f t="shared" si="1974"/>
        <v>3.4166666666666665</v>
      </c>
      <c r="P1344" s="8"/>
      <c r="Q1344" s="8"/>
      <c r="R1344" s="8"/>
      <c r="S1344" s="8"/>
      <c r="T1344" s="8"/>
      <c r="U1344" s="8"/>
      <c r="V1344" s="8"/>
      <c r="W1344" s="8"/>
      <c r="X1344" s="8"/>
      <c r="Y1344" s="8"/>
      <c r="Z1344" s="8"/>
    </row>
    <row r="1345" spans="1:26" s="9" customFormat="1" ht="15.75">
      <c r="A1345" s="32" t="s">
        <v>685</v>
      </c>
      <c r="B1345" s="21">
        <v>0</v>
      </c>
      <c r="C1345" s="21">
        <v>0</v>
      </c>
      <c r="D1345" s="21">
        <v>0</v>
      </c>
      <c r="E1345" s="21">
        <v>0</v>
      </c>
      <c r="F1345" s="21">
        <v>1</v>
      </c>
      <c r="G1345" s="21">
        <v>0</v>
      </c>
      <c r="H1345" s="21">
        <v>0</v>
      </c>
      <c r="I1345" s="21">
        <v>1</v>
      </c>
      <c r="J1345" s="21">
        <v>0</v>
      </c>
      <c r="K1345" s="21">
        <v>0</v>
      </c>
      <c r="L1345" s="21">
        <v>0</v>
      </c>
      <c r="M1345" s="21">
        <v>0</v>
      </c>
      <c r="N1345" s="150">
        <f t="shared" si="1973"/>
        <v>2</v>
      </c>
      <c r="O1345" s="22">
        <f t="shared" si="1974"/>
        <v>0.16666666666666666</v>
      </c>
      <c r="P1345" s="8"/>
      <c r="Q1345" s="8"/>
      <c r="R1345" s="8"/>
      <c r="S1345" s="8"/>
      <c r="T1345" s="8"/>
      <c r="U1345" s="8"/>
      <c r="V1345" s="8"/>
      <c r="W1345" s="8"/>
      <c r="X1345" s="8"/>
      <c r="Y1345" s="8"/>
      <c r="Z1345" s="8"/>
    </row>
    <row r="1346" spans="1:26" s="9" customFormat="1" ht="15.75">
      <c r="A1346" s="32" t="s">
        <v>175</v>
      </c>
      <c r="B1346" s="21">
        <v>0</v>
      </c>
      <c r="C1346" s="21">
        <v>0</v>
      </c>
      <c r="D1346" s="21">
        <v>0</v>
      </c>
      <c r="E1346" s="21">
        <v>0</v>
      </c>
      <c r="F1346" s="21">
        <v>0</v>
      </c>
      <c r="G1346" s="21">
        <v>0</v>
      </c>
      <c r="H1346" s="21">
        <v>0</v>
      </c>
      <c r="I1346" s="21">
        <v>0</v>
      </c>
      <c r="J1346" s="21">
        <v>0</v>
      </c>
      <c r="K1346" s="21">
        <v>0</v>
      </c>
      <c r="L1346" s="21">
        <v>0</v>
      </c>
      <c r="M1346" s="21">
        <v>0</v>
      </c>
      <c r="N1346" s="150">
        <f t="shared" si="1973"/>
        <v>0</v>
      </c>
      <c r="O1346" s="22">
        <f t="shared" si="1974"/>
        <v>0</v>
      </c>
      <c r="P1346" s="8"/>
      <c r="Q1346" s="8"/>
      <c r="R1346" s="8"/>
      <c r="S1346" s="8"/>
      <c r="T1346" s="8"/>
      <c r="U1346" s="8"/>
      <c r="V1346" s="8"/>
      <c r="W1346" s="8"/>
      <c r="X1346" s="8"/>
      <c r="Y1346" s="8"/>
      <c r="Z1346" s="8"/>
    </row>
    <row r="1347" spans="1:26" s="9" customFormat="1" ht="15.75">
      <c r="A1347" s="32" t="s">
        <v>164</v>
      </c>
      <c r="B1347" s="21">
        <v>35</v>
      </c>
      <c r="C1347" s="21">
        <v>23</v>
      </c>
      <c r="D1347" s="21">
        <v>26</v>
      </c>
      <c r="E1347" s="21">
        <v>23</v>
      </c>
      <c r="F1347" s="21">
        <v>25</v>
      </c>
      <c r="G1347" s="21">
        <v>35</v>
      </c>
      <c r="H1347" s="21">
        <v>37</v>
      </c>
      <c r="I1347" s="21">
        <v>37</v>
      </c>
      <c r="J1347" s="21">
        <v>19</v>
      </c>
      <c r="K1347" s="21">
        <v>32</v>
      </c>
      <c r="L1347" s="21">
        <v>32</v>
      </c>
      <c r="M1347" s="21">
        <v>52</v>
      </c>
      <c r="N1347" s="150">
        <f t="shared" si="1973"/>
        <v>376</v>
      </c>
      <c r="O1347" s="22">
        <f t="shared" si="1974"/>
        <v>31.333333333333332</v>
      </c>
      <c r="P1347" s="8"/>
      <c r="Q1347" s="8"/>
      <c r="R1347" s="8"/>
      <c r="S1347" s="8"/>
      <c r="T1347" s="8"/>
      <c r="U1347" s="8"/>
      <c r="V1347" s="8"/>
      <c r="W1347" s="8"/>
      <c r="X1347" s="8"/>
      <c r="Y1347" s="8"/>
      <c r="Z1347" s="8"/>
    </row>
    <row r="1348" spans="1:26" s="9" customFormat="1" ht="15.75">
      <c r="A1348" s="32" t="s">
        <v>22</v>
      </c>
      <c r="B1348" s="21">
        <v>0</v>
      </c>
      <c r="C1348" s="21">
        <v>0</v>
      </c>
      <c r="D1348" s="21">
        <v>0</v>
      </c>
      <c r="E1348" s="21">
        <v>0</v>
      </c>
      <c r="F1348" s="21">
        <v>0</v>
      </c>
      <c r="G1348" s="21">
        <v>0</v>
      </c>
      <c r="H1348" s="21">
        <v>0</v>
      </c>
      <c r="I1348" s="21">
        <v>0</v>
      </c>
      <c r="J1348" s="21">
        <v>0</v>
      </c>
      <c r="K1348" s="21">
        <v>0</v>
      </c>
      <c r="L1348" s="21">
        <v>0</v>
      </c>
      <c r="M1348" s="21">
        <v>0</v>
      </c>
      <c r="N1348" s="150">
        <f t="shared" ref="N1348" si="1975">SUM(B1348:M1348)</f>
        <v>0</v>
      </c>
      <c r="O1348" s="22">
        <f t="shared" ref="O1348" si="1976">IF(N1348=0,0,AVERAGE(B1348:M1348))</f>
        <v>0</v>
      </c>
      <c r="P1348" s="115"/>
      <c r="Q1348" s="115"/>
      <c r="R1348" s="115"/>
      <c r="S1348" s="115"/>
      <c r="T1348" s="115"/>
      <c r="U1348" s="115"/>
      <c r="V1348" s="115"/>
      <c r="W1348" s="115"/>
      <c r="X1348" s="115"/>
      <c r="Y1348" s="115"/>
      <c r="Z1348" s="115"/>
    </row>
    <row r="1349" spans="1:26" s="9" customFormat="1" ht="15.75">
      <c r="A1349" s="62" t="s">
        <v>21</v>
      </c>
      <c r="B1349" s="24">
        <f t="shared" ref="B1349:G1349" si="1977">SUM(B1335:B1348)</f>
        <v>99</v>
      </c>
      <c r="C1349" s="24">
        <f t="shared" si="1977"/>
        <v>87</v>
      </c>
      <c r="D1349" s="24">
        <f t="shared" si="1977"/>
        <v>69</v>
      </c>
      <c r="E1349" s="24">
        <f t="shared" si="1977"/>
        <v>51</v>
      </c>
      <c r="F1349" s="24">
        <f t="shared" si="1977"/>
        <v>64</v>
      </c>
      <c r="G1349" s="24">
        <f t="shared" si="1977"/>
        <v>85</v>
      </c>
      <c r="H1349" s="24">
        <f t="shared" ref="H1349:I1349" si="1978">SUM(H1335:H1348)</f>
        <v>74</v>
      </c>
      <c r="I1349" s="24">
        <f t="shared" si="1978"/>
        <v>90</v>
      </c>
      <c r="J1349" s="24">
        <f t="shared" ref="J1349:K1349" si="1979">SUM(J1335:J1348)</f>
        <v>86</v>
      </c>
      <c r="K1349" s="24">
        <f t="shared" si="1979"/>
        <v>92</v>
      </c>
      <c r="L1349" s="24">
        <f t="shared" ref="L1349:M1349" si="1980">SUM(L1335:L1348)</f>
        <v>97</v>
      </c>
      <c r="M1349" s="24">
        <f t="shared" si="1980"/>
        <v>111</v>
      </c>
      <c r="N1349" s="144">
        <f>SUM(N1335:N1347)</f>
        <v>1005</v>
      </c>
      <c r="O1349" s="25">
        <f>SUM(O1335:O1347)</f>
        <v>83.75</v>
      </c>
      <c r="P1349" s="8"/>
      <c r="Q1349" s="8"/>
      <c r="R1349" s="8"/>
      <c r="S1349" s="8"/>
      <c r="T1349" s="8"/>
      <c r="U1349" s="8"/>
      <c r="V1349" s="8"/>
      <c r="W1349" s="8"/>
      <c r="X1349" s="8"/>
      <c r="Y1349" s="8"/>
      <c r="Z1349" s="8"/>
    </row>
    <row r="1350" spans="1:26" s="9" customFormat="1" ht="15.75">
      <c r="A1350" s="62" t="s">
        <v>112</v>
      </c>
      <c r="B1350" s="25">
        <f t="shared" ref="B1350:G1350" si="1981">IF(B1349=0,"",B1349/B$1870)</f>
        <v>3.193548387096774</v>
      </c>
      <c r="C1350" s="25">
        <f t="shared" si="1981"/>
        <v>3.1071428571428572</v>
      </c>
      <c r="D1350" s="25">
        <f t="shared" si="1981"/>
        <v>2.225806451612903</v>
      </c>
      <c r="E1350" s="25">
        <f t="shared" si="1981"/>
        <v>1.7</v>
      </c>
      <c r="F1350" s="25">
        <f t="shared" si="1981"/>
        <v>2.064516129032258</v>
      </c>
      <c r="G1350" s="25">
        <f t="shared" si="1981"/>
        <v>2.8333333333333335</v>
      </c>
      <c r="H1350" s="25">
        <f t="shared" ref="H1350:I1350" si="1982">IF(H1349=0,"",H1349/H$1870)</f>
        <v>2.3870967741935485</v>
      </c>
      <c r="I1350" s="25">
        <f t="shared" si="1982"/>
        <v>2.903225806451613</v>
      </c>
      <c r="J1350" s="25">
        <f t="shared" ref="J1350:K1350" si="1983">IF(J1349=0,"",J1349/J$1870)</f>
        <v>2.8666666666666667</v>
      </c>
      <c r="K1350" s="25">
        <f t="shared" si="1983"/>
        <v>2.967741935483871</v>
      </c>
      <c r="L1350" s="25">
        <f t="shared" ref="L1350:M1350" si="1984">IF(L1349=0,"",L1349/L$1870)</f>
        <v>3.2333333333333334</v>
      </c>
      <c r="M1350" s="25">
        <f t="shared" si="1984"/>
        <v>3.5806451612903225</v>
      </c>
      <c r="N1350" s="144">
        <f>SUM(B1350:M1350)</f>
        <v>33.063056835637482</v>
      </c>
      <c r="O1350" s="25">
        <f>IF(N1350=0,0,AVERAGE(B1350:M1350))</f>
        <v>2.7552547363031237</v>
      </c>
      <c r="P1350" s="8"/>
      <c r="Q1350" s="8"/>
      <c r="R1350" s="8"/>
      <c r="S1350" s="8"/>
      <c r="T1350" s="8"/>
      <c r="U1350" s="8"/>
      <c r="V1350" s="8"/>
      <c r="W1350" s="8"/>
      <c r="X1350" s="8"/>
      <c r="Y1350" s="8"/>
      <c r="Z1350" s="8"/>
    </row>
    <row r="1351" spans="1:26" s="9" customFormat="1">
      <c r="A1351" s="26"/>
      <c r="B1351" s="27"/>
      <c r="C1351" s="27"/>
      <c r="D1351" s="27"/>
      <c r="E1351" s="27"/>
      <c r="F1351" s="27"/>
      <c r="G1351" s="27"/>
      <c r="H1351" s="27"/>
      <c r="I1351" s="27"/>
      <c r="J1351" s="27"/>
      <c r="K1351" s="28"/>
      <c r="L1351" s="28"/>
      <c r="M1351" s="28"/>
      <c r="N1351" s="151"/>
      <c r="O1351" s="16"/>
      <c r="P1351" s="8"/>
      <c r="Q1351" s="8"/>
      <c r="R1351" s="8"/>
      <c r="S1351" s="8"/>
      <c r="T1351" s="8"/>
      <c r="U1351" s="8"/>
      <c r="V1351" s="8"/>
      <c r="W1351" s="8"/>
      <c r="X1351" s="8"/>
      <c r="Y1351" s="8"/>
      <c r="Z1351" s="8"/>
    </row>
    <row r="1352" spans="1:26" s="9" customFormat="1" ht="15.75">
      <c r="A1352" s="91" t="s">
        <v>153</v>
      </c>
      <c r="B1352" s="92">
        <f t="shared" ref="B1352:C1352" si="1985">B1331</f>
        <v>69</v>
      </c>
      <c r="C1352" s="92">
        <f t="shared" si="1985"/>
        <v>43</v>
      </c>
      <c r="D1352" s="92">
        <f t="shared" ref="D1352:E1352" si="1986">D1331</f>
        <v>52</v>
      </c>
      <c r="E1352" s="92">
        <f t="shared" si="1986"/>
        <v>30</v>
      </c>
      <c r="F1352" s="92">
        <f t="shared" ref="F1352:G1352" si="1987">F1331</f>
        <v>33</v>
      </c>
      <c r="G1352" s="92">
        <f t="shared" si="1987"/>
        <v>63</v>
      </c>
      <c r="H1352" s="92">
        <f t="shared" ref="H1352:I1352" si="1988">H1331</f>
        <v>81</v>
      </c>
      <c r="I1352" s="92">
        <f t="shared" si="1988"/>
        <v>64</v>
      </c>
      <c r="J1352" s="92">
        <f t="shared" ref="J1352:K1352" si="1989">J1331</f>
        <v>55</v>
      </c>
      <c r="K1352" s="92">
        <f t="shared" si="1989"/>
        <v>29</v>
      </c>
      <c r="L1352" s="92">
        <f t="shared" ref="L1352:M1352" si="1990">L1331</f>
        <v>44</v>
      </c>
      <c r="M1352" s="92">
        <f t="shared" si="1990"/>
        <v>36</v>
      </c>
      <c r="N1352" s="150">
        <f>N1324</f>
        <v>599</v>
      </c>
      <c r="O1352" s="22">
        <f>O1324</f>
        <v>49.916666666666671</v>
      </c>
      <c r="P1352" s="8"/>
      <c r="Q1352" s="8"/>
      <c r="R1352" s="8"/>
      <c r="S1352" s="8"/>
      <c r="T1352" s="8"/>
      <c r="U1352" s="8"/>
      <c r="V1352" s="8"/>
      <c r="W1352" s="8"/>
      <c r="X1352" s="8"/>
      <c r="Y1352" s="8"/>
      <c r="Z1352" s="8"/>
    </row>
    <row r="1353" spans="1:26" s="9" customFormat="1" ht="15.75">
      <c r="A1353" s="91" t="s">
        <v>154</v>
      </c>
      <c r="B1353" s="92">
        <f t="shared" ref="B1353:C1353" si="1991">B1349</f>
        <v>99</v>
      </c>
      <c r="C1353" s="92">
        <f t="shared" si="1991"/>
        <v>87</v>
      </c>
      <c r="D1353" s="92">
        <f t="shared" ref="D1353:E1353" si="1992">D1349</f>
        <v>69</v>
      </c>
      <c r="E1353" s="92">
        <f t="shared" si="1992"/>
        <v>51</v>
      </c>
      <c r="F1353" s="92">
        <f t="shared" ref="F1353:G1353" si="1993">F1349</f>
        <v>64</v>
      </c>
      <c r="G1353" s="92">
        <f t="shared" si="1993"/>
        <v>85</v>
      </c>
      <c r="H1353" s="92">
        <f t="shared" ref="H1353:I1353" si="1994">H1349</f>
        <v>74</v>
      </c>
      <c r="I1353" s="92">
        <f t="shared" si="1994"/>
        <v>90</v>
      </c>
      <c r="J1353" s="92">
        <f t="shared" ref="J1353:K1353" si="1995">J1349</f>
        <v>86</v>
      </c>
      <c r="K1353" s="92">
        <f t="shared" si="1995"/>
        <v>92</v>
      </c>
      <c r="L1353" s="92">
        <f t="shared" ref="L1353:M1353" si="1996">L1349</f>
        <v>97</v>
      </c>
      <c r="M1353" s="92">
        <f t="shared" si="1996"/>
        <v>111</v>
      </c>
      <c r="N1353" s="150">
        <f>N1349</f>
        <v>1005</v>
      </c>
      <c r="O1353" s="22">
        <f>O1349</f>
        <v>83.75</v>
      </c>
      <c r="P1353" s="13"/>
      <c r="Q1353" s="13"/>
      <c r="R1353" s="13"/>
      <c r="S1353" s="13"/>
      <c r="T1353" s="13"/>
      <c r="U1353" s="13"/>
      <c r="V1353" s="13"/>
      <c r="W1353" s="13"/>
      <c r="X1353" s="13"/>
      <c r="Y1353" s="13"/>
      <c r="Z1353" s="13"/>
    </row>
    <row r="1354" spans="1:26" s="9" customFormat="1" ht="15.75">
      <c r="A1354" s="381" t="s">
        <v>155</v>
      </c>
      <c r="B1354" s="372">
        <f t="shared" ref="B1354:C1354" si="1997">SUM(B1352:B1353)</f>
        <v>168</v>
      </c>
      <c r="C1354" s="372">
        <f t="shared" si="1997"/>
        <v>130</v>
      </c>
      <c r="D1354" s="372">
        <f t="shared" ref="D1354:E1354" si="1998">SUM(D1352:D1353)</f>
        <v>121</v>
      </c>
      <c r="E1354" s="372">
        <f t="shared" si="1998"/>
        <v>81</v>
      </c>
      <c r="F1354" s="372">
        <f t="shared" ref="F1354:G1354" si="1999">SUM(F1352:F1353)</f>
        <v>97</v>
      </c>
      <c r="G1354" s="372">
        <f t="shared" si="1999"/>
        <v>148</v>
      </c>
      <c r="H1354" s="372">
        <f t="shared" ref="H1354:I1354" si="2000">SUM(H1352:H1353)</f>
        <v>155</v>
      </c>
      <c r="I1354" s="372">
        <f t="shared" si="2000"/>
        <v>154</v>
      </c>
      <c r="J1354" s="372">
        <f t="shared" ref="J1354:K1354" si="2001">SUM(J1352:J1353)</f>
        <v>141</v>
      </c>
      <c r="K1354" s="372">
        <f t="shared" si="2001"/>
        <v>121</v>
      </c>
      <c r="L1354" s="372">
        <f t="shared" ref="L1354:M1354" si="2002">SUM(L1352:L1353)</f>
        <v>141</v>
      </c>
      <c r="M1354" s="372">
        <f t="shared" si="2002"/>
        <v>147</v>
      </c>
      <c r="N1354" s="373">
        <f>SUM(N1352:N1353)</f>
        <v>1604</v>
      </c>
      <c r="O1354" s="374">
        <f>SUM(O1352:O1353)</f>
        <v>133.66666666666669</v>
      </c>
      <c r="P1354" s="8"/>
      <c r="Q1354" s="8"/>
      <c r="R1354" s="8"/>
      <c r="S1354" s="8"/>
      <c r="T1354" s="8"/>
      <c r="U1354" s="8"/>
      <c r="V1354" s="8"/>
      <c r="W1354" s="8"/>
      <c r="X1354" s="8"/>
      <c r="Y1354" s="8"/>
      <c r="Z1354" s="8"/>
    </row>
    <row r="1355" spans="1:26" s="9" customFormat="1" ht="15.75">
      <c r="A1355" s="88"/>
      <c r="B1355" s="89"/>
      <c r="C1355" s="89"/>
      <c r="D1355" s="89"/>
      <c r="E1355" s="89"/>
      <c r="F1355" s="89"/>
      <c r="G1355" s="89"/>
      <c r="H1355" s="89"/>
      <c r="I1355" s="89"/>
      <c r="J1355" s="89"/>
      <c r="K1355" s="89"/>
      <c r="L1355" s="89"/>
      <c r="M1355" s="89"/>
      <c r="N1355" s="167"/>
      <c r="O1355" s="90"/>
      <c r="P1355" s="8"/>
      <c r="Q1355" s="8"/>
      <c r="R1355" s="8"/>
      <c r="S1355" s="8"/>
      <c r="T1355" s="8"/>
      <c r="U1355" s="8"/>
      <c r="V1355" s="8"/>
      <c r="W1355" s="8"/>
      <c r="X1355" s="8"/>
      <c r="Y1355" s="8"/>
      <c r="Z1355" s="8"/>
    </row>
    <row r="1356" spans="1:26" s="9" customFormat="1" ht="15.75">
      <c r="A1356" s="404" t="s">
        <v>626</v>
      </c>
      <c r="B1356" s="392"/>
      <c r="C1356" s="392"/>
      <c r="D1356" s="392"/>
      <c r="E1356" s="392"/>
      <c r="F1356" s="392"/>
      <c r="G1356" s="392"/>
      <c r="H1356" s="392"/>
      <c r="I1356" s="392"/>
      <c r="J1356" s="392"/>
      <c r="K1356" s="392"/>
      <c r="L1356" s="392"/>
      <c r="M1356" s="392"/>
      <c r="N1356" s="393"/>
      <c r="O1356" s="394"/>
      <c r="P1356" s="13"/>
      <c r="Q1356" s="13"/>
      <c r="R1356" s="13"/>
      <c r="S1356" s="13"/>
      <c r="T1356" s="13"/>
      <c r="U1356" s="13"/>
      <c r="V1356" s="13"/>
      <c r="W1356" s="13"/>
      <c r="X1356" s="13"/>
      <c r="Y1356" s="13"/>
      <c r="Z1356" s="13"/>
    </row>
    <row r="1357" spans="1:26" s="9" customFormat="1" ht="15.75">
      <c r="A1357" s="395" t="s">
        <v>602</v>
      </c>
      <c r="B1357" s="392"/>
      <c r="C1357" s="392"/>
      <c r="D1357" s="392"/>
      <c r="E1357" s="392"/>
      <c r="F1357" s="392"/>
      <c r="G1357" s="392"/>
      <c r="H1357" s="392"/>
      <c r="I1357" s="392"/>
      <c r="J1357" s="392"/>
      <c r="K1357" s="392"/>
      <c r="L1357" s="392"/>
      <c r="M1357" s="392"/>
      <c r="N1357" s="393"/>
      <c r="O1357" s="394"/>
      <c r="P1357" s="13"/>
      <c r="Q1357" s="13"/>
      <c r="R1357" s="13"/>
      <c r="S1357" s="13"/>
      <c r="T1357" s="13"/>
      <c r="U1357" s="13"/>
      <c r="V1357" s="13"/>
      <c r="W1357" s="13"/>
      <c r="X1357" s="13"/>
      <c r="Y1357" s="13"/>
      <c r="Z1357" s="13"/>
    </row>
    <row r="1358" spans="1:26" s="9" customFormat="1" ht="15.75">
      <c r="A1358" s="37" t="s">
        <v>641</v>
      </c>
      <c r="B1358" s="21">
        <f t="shared" ref="B1358:G1358" si="2003">B1369+B1387</f>
        <v>8</v>
      </c>
      <c r="C1358" s="21">
        <f t="shared" si="2003"/>
        <v>7</v>
      </c>
      <c r="D1358" s="21">
        <f t="shared" si="2003"/>
        <v>7</v>
      </c>
      <c r="E1358" s="21">
        <f t="shared" si="2003"/>
        <v>6</v>
      </c>
      <c r="F1358" s="21">
        <f t="shared" si="2003"/>
        <v>4</v>
      </c>
      <c r="G1358" s="21">
        <f t="shared" si="2003"/>
        <v>5</v>
      </c>
      <c r="H1358" s="21">
        <f t="shared" ref="H1358:I1358" si="2004">H1369+H1387</f>
        <v>0</v>
      </c>
      <c r="I1358" s="21">
        <f t="shared" si="2004"/>
        <v>9</v>
      </c>
      <c r="J1358" s="21">
        <f t="shared" ref="J1358:K1358" si="2005">J1369+J1387</f>
        <v>13</v>
      </c>
      <c r="K1358" s="21">
        <f t="shared" si="2005"/>
        <v>8</v>
      </c>
      <c r="L1358" s="21">
        <f t="shared" ref="L1358:M1358" si="2006">L1369+L1387</f>
        <v>9</v>
      </c>
      <c r="M1358" s="21">
        <f t="shared" si="2006"/>
        <v>8</v>
      </c>
      <c r="N1358" s="150">
        <f t="shared" ref="N1358:N1364" si="2007">SUM(B1358:M1358)</f>
        <v>84</v>
      </c>
      <c r="O1358" s="22">
        <f t="shared" ref="O1358:O1364" si="2008">IF(N1358=0,0,AVERAGE(B1358:M1358))</f>
        <v>7</v>
      </c>
      <c r="P1358" s="13"/>
      <c r="Q1358" s="13"/>
      <c r="R1358" s="13"/>
      <c r="S1358" s="13"/>
      <c r="T1358" s="13"/>
      <c r="U1358" s="13"/>
      <c r="V1358" s="13"/>
      <c r="W1358" s="13"/>
      <c r="X1358" s="13"/>
      <c r="Y1358" s="13"/>
      <c r="Z1358" s="13"/>
    </row>
    <row r="1359" spans="1:26" s="9" customFormat="1" ht="15.75">
      <c r="A1359" s="37" t="s">
        <v>410</v>
      </c>
      <c r="B1359" s="21">
        <f t="shared" ref="B1359:C1364" si="2009">B1370+B1388</f>
        <v>108</v>
      </c>
      <c r="C1359" s="21">
        <f t="shared" si="2009"/>
        <v>69</v>
      </c>
      <c r="D1359" s="21">
        <f t="shared" ref="D1359:E1359" si="2010">D1370+D1388</f>
        <v>68</v>
      </c>
      <c r="E1359" s="21">
        <f t="shared" si="2010"/>
        <v>48</v>
      </c>
      <c r="F1359" s="21">
        <f t="shared" ref="F1359:G1359" si="2011">F1370+F1388</f>
        <v>34</v>
      </c>
      <c r="G1359" s="21">
        <f t="shared" si="2011"/>
        <v>64</v>
      </c>
      <c r="H1359" s="21">
        <f t="shared" ref="H1359:I1359" si="2012">H1370+H1388</f>
        <v>0</v>
      </c>
      <c r="I1359" s="21">
        <f t="shared" si="2012"/>
        <v>85</v>
      </c>
      <c r="J1359" s="21">
        <f t="shared" ref="J1359:K1359" si="2013">J1370+J1388</f>
        <v>103</v>
      </c>
      <c r="K1359" s="21">
        <f t="shared" si="2013"/>
        <v>114</v>
      </c>
      <c r="L1359" s="21">
        <f t="shared" ref="L1359:M1359" si="2014">L1370+L1388</f>
        <v>101</v>
      </c>
      <c r="M1359" s="21">
        <f t="shared" si="2014"/>
        <v>78</v>
      </c>
      <c r="N1359" s="150">
        <f t="shared" si="2007"/>
        <v>872</v>
      </c>
      <c r="O1359" s="22">
        <f t="shared" si="2008"/>
        <v>72.666666666666671</v>
      </c>
      <c r="P1359" s="13"/>
      <c r="Q1359" s="13"/>
      <c r="R1359" s="13"/>
      <c r="S1359" s="13"/>
      <c r="T1359" s="13"/>
      <c r="U1359" s="13"/>
      <c r="V1359" s="13"/>
      <c r="W1359" s="13"/>
      <c r="X1359" s="13"/>
      <c r="Y1359" s="13"/>
      <c r="Z1359" s="13"/>
    </row>
    <row r="1360" spans="1:26" s="9" customFormat="1" ht="15.75">
      <c r="A1360" s="37" t="s">
        <v>642</v>
      </c>
      <c r="B1360" s="21">
        <f t="shared" si="2009"/>
        <v>8</v>
      </c>
      <c r="C1360" s="21">
        <f t="shared" si="2009"/>
        <v>5</v>
      </c>
      <c r="D1360" s="21">
        <f t="shared" ref="D1360:E1360" si="2015">D1371+D1389</f>
        <v>3</v>
      </c>
      <c r="E1360" s="21">
        <f t="shared" si="2015"/>
        <v>2</v>
      </c>
      <c r="F1360" s="21">
        <f t="shared" ref="F1360:G1360" si="2016">F1371+F1389</f>
        <v>4</v>
      </c>
      <c r="G1360" s="21">
        <f t="shared" si="2016"/>
        <v>3</v>
      </c>
      <c r="H1360" s="21">
        <f t="shared" ref="H1360:I1360" si="2017">H1371+H1389</f>
        <v>0</v>
      </c>
      <c r="I1360" s="21">
        <f t="shared" si="2017"/>
        <v>2</v>
      </c>
      <c r="J1360" s="21">
        <f t="shared" ref="J1360:K1360" si="2018">J1371+J1389</f>
        <v>13</v>
      </c>
      <c r="K1360" s="21">
        <f t="shared" si="2018"/>
        <v>9</v>
      </c>
      <c r="L1360" s="21">
        <f t="shared" ref="L1360:M1360" si="2019">L1371+L1389</f>
        <v>8</v>
      </c>
      <c r="M1360" s="21">
        <f t="shared" si="2019"/>
        <v>6</v>
      </c>
      <c r="N1360" s="150">
        <f t="shared" si="2007"/>
        <v>63</v>
      </c>
      <c r="O1360" s="22">
        <f t="shared" si="2008"/>
        <v>5.25</v>
      </c>
      <c r="P1360" s="13"/>
      <c r="Q1360" s="13"/>
      <c r="R1360" s="13"/>
      <c r="S1360" s="13"/>
      <c r="T1360" s="13"/>
      <c r="U1360" s="13"/>
      <c r="V1360" s="13"/>
      <c r="W1360" s="13"/>
      <c r="X1360" s="13"/>
      <c r="Y1360" s="13"/>
      <c r="Z1360" s="13"/>
    </row>
    <row r="1361" spans="1:26" s="9" customFormat="1" ht="15.75">
      <c r="A1361" s="37" t="s">
        <v>176</v>
      </c>
      <c r="B1361" s="21">
        <f t="shared" si="2009"/>
        <v>68</v>
      </c>
      <c r="C1361" s="21">
        <f t="shared" si="2009"/>
        <v>47</v>
      </c>
      <c r="D1361" s="21">
        <f t="shared" ref="D1361:E1361" si="2020">D1372+D1390</f>
        <v>42</v>
      </c>
      <c r="E1361" s="21">
        <f t="shared" si="2020"/>
        <v>33</v>
      </c>
      <c r="F1361" s="21">
        <f t="shared" ref="F1361:G1361" si="2021">F1372+F1390</f>
        <v>26</v>
      </c>
      <c r="G1361" s="21">
        <f t="shared" si="2021"/>
        <v>31</v>
      </c>
      <c r="H1361" s="21">
        <f t="shared" ref="H1361:I1361" si="2022">H1372+H1390</f>
        <v>0</v>
      </c>
      <c r="I1361" s="21">
        <f t="shared" si="2022"/>
        <v>83</v>
      </c>
      <c r="J1361" s="21">
        <f t="shared" ref="J1361:K1361" si="2023">J1372+J1390</f>
        <v>98</v>
      </c>
      <c r="K1361" s="21">
        <f t="shared" si="2023"/>
        <v>63</v>
      </c>
      <c r="L1361" s="21">
        <f t="shared" ref="L1361:M1361" si="2024">L1372+L1390</f>
        <v>72</v>
      </c>
      <c r="M1361" s="21">
        <f t="shared" si="2024"/>
        <v>65</v>
      </c>
      <c r="N1361" s="150">
        <f t="shared" si="2007"/>
        <v>628</v>
      </c>
      <c r="O1361" s="22">
        <f t="shared" si="2008"/>
        <v>52.333333333333336</v>
      </c>
      <c r="P1361" s="8"/>
      <c r="Q1361" s="8"/>
      <c r="R1361" s="8"/>
      <c r="S1361" s="8"/>
      <c r="T1361" s="8"/>
      <c r="U1361" s="8"/>
      <c r="V1361" s="8"/>
      <c r="W1361" s="8"/>
      <c r="X1361" s="8"/>
      <c r="Y1361" s="8"/>
      <c r="Z1361" s="8"/>
    </row>
    <row r="1362" spans="1:26" s="9" customFormat="1" ht="15.75">
      <c r="A1362" s="37" t="s">
        <v>164</v>
      </c>
      <c r="B1362" s="21">
        <f t="shared" si="2009"/>
        <v>0</v>
      </c>
      <c r="C1362" s="21">
        <f t="shared" si="2009"/>
        <v>0</v>
      </c>
      <c r="D1362" s="21">
        <f t="shared" ref="D1362:E1362" si="2025">D1373+D1391</f>
        <v>0</v>
      </c>
      <c r="E1362" s="21">
        <f t="shared" si="2025"/>
        <v>0</v>
      </c>
      <c r="F1362" s="21">
        <f t="shared" ref="F1362:G1362" si="2026">F1373+F1391</f>
        <v>0</v>
      </c>
      <c r="G1362" s="21">
        <f t="shared" si="2026"/>
        <v>0</v>
      </c>
      <c r="H1362" s="21">
        <f t="shared" ref="H1362:I1362" si="2027">H1373+H1391</f>
        <v>0</v>
      </c>
      <c r="I1362" s="21">
        <f t="shared" si="2027"/>
        <v>0</v>
      </c>
      <c r="J1362" s="21">
        <f t="shared" ref="J1362:K1362" si="2028">J1373+J1391</f>
        <v>0</v>
      </c>
      <c r="K1362" s="21">
        <f t="shared" si="2028"/>
        <v>0</v>
      </c>
      <c r="L1362" s="21">
        <f t="shared" ref="L1362:M1362" si="2029">L1373+L1391</f>
        <v>0</v>
      </c>
      <c r="M1362" s="21">
        <f t="shared" si="2029"/>
        <v>0</v>
      </c>
      <c r="N1362" s="150">
        <f t="shared" si="2007"/>
        <v>0</v>
      </c>
      <c r="O1362" s="22">
        <f t="shared" si="2008"/>
        <v>0</v>
      </c>
      <c r="P1362" s="8"/>
      <c r="Q1362" s="8"/>
      <c r="R1362" s="8"/>
      <c r="S1362" s="8"/>
      <c r="T1362" s="8"/>
      <c r="U1362" s="8"/>
      <c r="V1362" s="8"/>
      <c r="W1362" s="8"/>
      <c r="X1362" s="8"/>
      <c r="Y1362" s="8"/>
      <c r="Z1362" s="8"/>
    </row>
    <row r="1363" spans="1:26" s="9" customFormat="1" ht="15.75">
      <c r="A1363" s="37" t="s">
        <v>177</v>
      </c>
      <c r="B1363" s="21">
        <f t="shared" si="2009"/>
        <v>22</v>
      </c>
      <c r="C1363" s="21">
        <f t="shared" si="2009"/>
        <v>18</v>
      </c>
      <c r="D1363" s="21">
        <f t="shared" ref="D1363:E1363" si="2030">D1374+D1392</f>
        <v>20</v>
      </c>
      <c r="E1363" s="21">
        <f t="shared" si="2030"/>
        <v>4</v>
      </c>
      <c r="F1363" s="21">
        <f t="shared" ref="F1363:G1363" si="2031">F1374+F1392</f>
        <v>14</v>
      </c>
      <c r="G1363" s="21">
        <f t="shared" si="2031"/>
        <v>11</v>
      </c>
      <c r="H1363" s="21">
        <f t="shared" ref="H1363:I1363" si="2032">H1374+H1392</f>
        <v>0</v>
      </c>
      <c r="I1363" s="21">
        <f t="shared" si="2032"/>
        <v>18</v>
      </c>
      <c r="J1363" s="21">
        <f t="shared" ref="J1363:K1363" si="2033">J1374+J1392</f>
        <v>23</v>
      </c>
      <c r="K1363" s="21">
        <f t="shared" si="2033"/>
        <v>18</v>
      </c>
      <c r="L1363" s="21">
        <f t="shared" ref="L1363:M1363" si="2034">L1374+L1392</f>
        <v>13</v>
      </c>
      <c r="M1363" s="21">
        <f t="shared" si="2034"/>
        <v>15</v>
      </c>
      <c r="N1363" s="150">
        <f t="shared" si="2007"/>
        <v>176</v>
      </c>
      <c r="O1363" s="22">
        <f t="shared" si="2008"/>
        <v>14.666666666666666</v>
      </c>
      <c r="P1363" s="8"/>
      <c r="Q1363" s="8"/>
      <c r="R1363" s="8"/>
      <c r="S1363" s="8"/>
      <c r="T1363" s="8"/>
      <c r="U1363" s="8"/>
      <c r="V1363" s="8"/>
      <c r="W1363" s="8"/>
      <c r="X1363" s="8"/>
      <c r="Y1363" s="8"/>
      <c r="Z1363" s="8"/>
    </row>
    <row r="1364" spans="1:26" s="9" customFormat="1" ht="15.75">
      <c r="A1364" s="37" t="s">
        <v>22</v>
      </c>
      <c r="B1364" s="21">
        <f t="shared" si="2009"/>
        <v>0</v>
      </c>
      <c r="C1364" s="21">
        <f t="shared" si="2009"/>
        <v>0</v>
      </c>
      <c r="D1364" s="21">
        <f t="shared" ref="D1364:E1364" si="2035">D1375+D1393</f>
        <v>0</v>
      </c>
      <c r="E1364" s="21">
        <f t="shared" si="2035"/>
        <v>0</v>
      </c>
      <c r="F1364" s="21">
        <f t="shared" ref="F1364:G1364" si="2036">F1375+F1393</f>
        <v>0</v>
      </c>
      <c r="G1364" s="21">
        <f t="shared" si="2036"/>
        <v>0</v>
      </c>
      <c r="H1364" s="21">
        <f t="shared" ref="H1364:I1364" si="2037">H1375+H1393</f>
        <v>0</v>
      </c>
      <c r="I1364" s="21">
        <f t="shared" si="2037"/>
        <v>0</v>
      </c>
      <c r="J1364" s="21">
        <f t="shared" ref="J1364:K1364" si="2038">J1375+J1393</f>
        <v>0</v>
      </c>
      <c r="K1364" s="21">
        <f t="shared" si="2038"/>
        <v>0</v>
      </c>
      <c r="L1364" s="21">
        <f t="shared" ref="L1364:M1364" si="2039">L1375+L1393</f>
        <v>0</v>
      </c>
      <c r="M1364" s="21">
        <f t="shared" si="2039"/>
        <v>0</v>
      </c>
      <c r="N1364" s="150">
        <f t="shared" si="2007"/>
        <v>0</v>
      </c>
      <c r="O1364" s="22">
        <f t="shared" si="2008"/>
        <v>0</v>
      </c>
      <c r="P1364" s="13"/>
      <c r="Q1364" s="13"/>
      <c r="R1364" s="13"/>
      <c r="S1364" s="13"/>
      <c r="T1364" s="13"/>
      <c r="U1364" s="13"/>
      <c r="V1364" s="13"/>
      <c r="W1364" s="13"/>
      <c r="X1364" s="13"/>
      <c r="Y1364" s="13"/>
      <c r="Z1364" s="13"/>
    </row>
    <row r="1365" spans="1:26" s="9" customFormat="1" ht="15.75">
      <c r="A1365" s="62" t="s">
        <v>21</v>
      </c>
      <c r="B1365" s="24">
        <f t="shared" ref="B1365:G1365" si="2040">SUM(B1358:B1364)</f>
        <v>214</v>
      </c>
      <c r="C1365" s="24">
        <f t="shared" si="2040"/>
        <v>146</v>
      </c>
      <c r="D1365" s="24">
        <f t="shared" si="2040"/>
        <v>140</v>
      </c>
      <c r="E1365" s="24">
        <f t="shared" si="2040"/>
        <v>93</v>
      </c>
      <c r="F1365" s="24">
        <f t="shared" si="2040"/>
        <v>82</v>
      </c>
      <c r="G1365" s="24">
        <f t="shared" si="2040"/>
        <v>114</v>
      </c>
      <c r="H1365" s="24">
        <f t="shared" ref="H1365:I1365" si="2041">SUM(H1358:H1364)</f>
        <v>0</v>
      </c>
      <c r="I1365" s="24">
        <f t="shared" si="2041"/>
        <v>197</v>
      </c>
      <c r="J1365" s="24">
        <f t="shared" ref="J1365:K1365" si="2042">SUM(J1358:J1364)</f>
        <v>250</v>
      </c>
      <c r="K1365" s="24">
        <f t="shared" si="2042"/>
        <v>212</v>
      </c>
      <c r="L1365" s="24">
        <f t="shared" ref="L1365:M1365" si="2043">SUM(L1358:L1364)</f>
        <v>203</v>
      </c>
      <c r="M1365" s="24">
        <f t="shared" si="2043"/>
        <v>172</v>
      </c>
      <c r="N1365" s="144">
        <f>SUM(N1358:N1364)</f>
        <v>1823</v>
      </c>
      <c r="O1365" s="25">
        <f>SUM(O1358:O1364)</f>
        <v>151.91666666666666</v>
      </c>
      <c r="P1365" s="8"/>
      <c r="Q1365" s="8"/>
      <c r="R1365" s="8"/>
      <c r="S1365" s="8"/>
      <c r="T1365" s="8"/>
      <c r="U1365" s="8"/>
      <c r="V1365" s="8"/>
      <c r="W1365" s="8"/>
      <c r="X1365" s="8"/>
      <c r="Y1365" s="8"/>
      <c r="Z1365" s="8"/>
    </row>
    <row r="1366" spans="1:26" s="9" customFormat="1" ht="15.75">
      <c r="A1366" s="62" t="s">
        <v>112</v>
      </c>
      <c r="B1366" s="25">
        <f t="shared" ref="B1366:G1366" si="2044">IF(B1365=0,"",B1365/B$1870)</f>
        <v>6.903225806451613</v>
      </c>
      <c r="C1366" s="25">
        <f t="shared" si="2044"/>
        <v>5.2142857142857144</v>
      </c>
      <c r="D1366" s="25">
        <f t="shared" si="2044"/>
        <v>4.5161290322580649</v>
      </c>
      <c r="E1366" s="25">
        <f t="shared" si="2044"/>
        <v>3.1</v>
      </c>
      <c r="F1366" s="25">
        <f t="shared" si="2044"/>
        <v>2.6451612903225805</v>
      </c>
      <c r="G1366" s="25">
        <f t="shared" si="2044"/>
        <v>3.8</v>
      </c>
      <c r="H1366" s="25" t="s">
        <v>44</v>
      </c>
      <c r="I1366" s="25">
        <f t="shared" ref="I1366:J1366" si="2045">IF(I1365=0,"",I1365/I$1870)</f>
        <v>6.354838709677419</v>
      </c>
      <c r="J1366" s="25">
        <f t="shared" si="2045"/>
        <v>8.3333333333333339</v>
      </c>
      <c r="K1366" s="25">
        <f t="shared" ref="K1366:L1366" si="2046">IF(K1365=0,"",K1365/K$1870)</f>
        <v>6.838709677419355</v>
      </c>
      <c r="L1366" s="25">
        <f t="shared" si="2046"/>
        <v>6.7666666666666666</v>
      </c>
      <c r="M1366" s="25">
        <f t="shared" ref="M1366" si="2047">IF(M1365=0,"",M1365/M$1870)</f>
        <v>5.5483870967741939</v>
      </c>
      <c r="N1366" s="144">
        <f>SUM(B1366:M1366)</f>
        <v>60.02073732718894</v>
      </c>
      <c r="O1366" s="25">
        <f>IF(N1366=0,0,AVERAGE(B1366:M1366))</f>
        <v>5.4564306661080852</v>
      </c>
      <c r="P1366" s="13"/>
      <c r="Q1366" s="13"/>
      <c r="R1366" s="13"/>
      <c r="S1366" s="13"/>
      <c r="T1366" s="13"/>
      <c r="U1366" s="13"/>
      <c r="V1366" s="13"/>
      <c r="W1366" s="13"/>
      <c r="X1366" s="13"/>
      <c r="Y1366" s="13"/>
      <c r="Z1366" s="13"/>
    </row>
    <row r="1367" spans="1:26" s="9" customFormat="1" ht="15.75">
      <c r="A1367" s="26"/>
      <c r="B1367" s="27"/>
      <c r="C1367" s="27"/>
      <c r="D1367" s="27"/>
      <c r="E1367" s="28"/>
      <c r="F1367" s="28"/>
      <c r="G1367" s="28"/>
      <c r="H1367" s="28"/>
      <c r="I1367" s="28"/>
      <c r="J1367" s="28"/>
      <c r="K1367" s="28"/>
      <c r="L1367" s="28"/>
      <c r="M1367" s="28"/>
      <c r="N1367" s="151"/>
      <c r="O1367" s="57"/>
      <c r="P1367" s="8"/>
      <c r="Q1367" s="8"/>
      <c r="R1367" s="8"/>
      <c r="S1367" s="8"/>
      <c r="T1367" s="8"/>
      <c r="U1367" s="8"/>
      <c r="V1367" s="8"/>
      <c r="W1367" s="8"/>
      <c r="X1367" s="8"/>
      <c r="Y1367" s="8"/>
      <c r="Z1367" s="8"/>
    </row>
    <row r="1368" spans="1:26" s="9" customFormat="1" ht="15.75">
      <c r="A1368" s="66" t="s">
        <v>603</v>
      </c>
      <c r="B1368" s="18"/>
      <c r="C1368" s="18"/>
      <c r="D1368" s="18"/>
      <c r="E1368" s="18"/>
      <c r="F1368" s="18"/>
      <c r="G1368" s="18"/>
      <c r="H1368" s="18"/>
      <c r="I1368" s="18"/>
      <c r="J1368" s="18"/>
      <c r="K1368" s="18"/>
      <c r="L1368" s="18"/>
      <c r="M1368" s="18"/>
      <c r="N1368" s="149"/>
      <c r="O1368" s="19"/>
      <c r="P1368" s="8"/>
      <c r="Q1368" s="8"/>
      <c r="R1368" s="8"/>
      <c r="S1368" s="8"/>
      <c r="T1368" s="8"/>
      <c r="U1368" s="8"/>
      <c r="V1368" s="8"/>
      <c r="W1368" s="8"/>
      <c r="X1368" s="8"/>
      <c r="Y1368" s="8"/>
      <c r="Z1368" s="8"/>
    </row>
    <row r="1369" spans="1:26" s="9" customFormat="1" ht="15.75">
      <c r="A1369" s="37" t="s">
        <v>641</v>
      </c>
      <c r="B1369" s="21">
        <v>0</v>
      </c>
      <c r="C1369" s="21">
        <v>3</v>
      </c>
      <c r="D1369" s="21">
        <v>2</v>
      </c>
      <c r="E1369" s="21">
        <v>1</v>
      </c>
      <c r="F1369" s="21">
        <v>0</v>
      </c>
      <c r="G1369" s="21">
        <v>0</v>
      </c>
      <c r="H1369" s="21">
        <v>0</v>
      </c>
      <c r="I1369" s="21">
        <v>4</v>
      </c>
      <c r="J1369" s="21">
        <f>2+4</f>
        <v>6</v>
      </c>
      <c r="K1369" s="21">
        <v>1</v>
      </c>
      <c r="L1369" s="21">
        <v>0</v>
      </c>
      <c r="M1369" s="21">
        <v>0</v>
      </c>
      <c r="N1369" s="150">
        <f t="shared" ref="N1369:N1375" si="2048">SUM(B1369:M1369)</f>
        <v>17</v>
      </c>
      <c r="O1369" s="22">
        <f t="shared" ref="O1369:O1375" si="2049">IF(N1369=0,0,AVERAGE(B1369:M1369))</f>
        <v>1.4166666666666667</v>
      </c>
      <c r="P1369" s="8"/>
      <c r="Q1369" s="8"/>
      <c r="R1369" s="8"/>
      <c r="S1369" s="8"/>
      <c r="T1369" s="8"/>
      <c r="U1369" s="8"/>
      <c r="V1369" s="8"/>
      <c r="W1369" s="8"/>
      <c r="X1369" s="8"/>
      <c r="Y1369" s="8"/>
      <c r="Z1369" s="8"/>
    </row>
    <row r="1370" spans="1:26" s="9" customFormat="1" ht="15.75">
      <c r="A1370" s="37" t="s">
        <v>410</v>
      </c>
      <c r="B1370" s="21">
        <v>22</v>
      </c>
      <c r="C1370" s="21">
        <v>13</v>
      </c>
      <c r="D1370" s="21">
        <v>12</v>
      </c>
      <c r="E1370" s="21">
        <v>10</v>
      </c>
      <c r="F1370" s="21">
        <v>9</v>
      </c>
      <c r="G1370" s="21">
        <f>5+9</f>
        <v>14</v>
      </c>
      <c r="H1370" s="21">
        <v>0</v>
      </c>
      <c r="I1370" s="21">
        <v>14</v>
      </c>
      <c r="J1370" s="21">
        <f>3+15+2</f>
        <v>20</v>
      </c>
      <c r="K1370" s="21">
        <f>3+11</f>
        <v>14</v>
      </c>
      <c r="L1370" s="21">
        <f>5+10</f>
        <v>15</v>
      </c>
      <c r="M1370" s="21">
        <f>8+1</f>
        <v>9</v>
      </c>
      <c r="N1370" s="150">
        <f t="shared" si="2048"/>
        <v>152</v>
      </c>
      <c r="O1370" s="22">
        <f t="shared" si="2049"/>
        <v>12.666666666666666</v>
      </c>
      <c r="P1370" s="8"/>
      <c r="Q1370" s="8"/>
      <c r="R1370" s="8"/>
      <c r="S1370" s="8"/>
      <c r="T1370" s="8"/>
      <c r="U1370" s="8"/>
      <c r="V1370" s="8"/>
      <c r="W1370" s="8"/>
      <c r="X1370" s="8"/>
      <c r="Y1370" s="8"/>
      <c r="Z1370" s="8"/>
    </row>
    <row r="1371" spans="1:26" s="9" customFormat="1" ht="15.75">
      <c r="A1371" s="37" t="s">
        <v>642</v>
      </c>
      <c r="B1371" s="21">
        <v>0</v>
      </c>
      <c r="C1371" s="21">
        <v>0</v>
      </c>
      <c r="D1371" s="21">
        <v>0</v>
      </c>
      <c r="E1371" s="21">
        <v>0</v>
      </c>
      <c r="F1371" s="21">
        <v>0</v>
      </c>
      <c r="G1371" s="21">
        <v>0</v>
      </c>
      <c r="H1371" s="21">
        <v>0</v>
      </c>
      <c r="I1371" s="21">
        <v>0</v>
      </c>
      <c r="J1371" s="21">
        <v>0</v>
      </c>
      <c r="K1371" s="21">
        <v>0</v>
      </c>
      <c r="L1371" s="21">
        <v>1</v>
      </c>
      <c r="M1371" s="21">
        <v>1</v>
      </c>
      <c r="N1371" s="150">
        <f t="shared" si="2048"/>
        <v>2</v>
      </c>
      <c r="O1371" s="22">
        <f t="shared" si="2049"/>
        <v>0.16666666666666666</v>
      </c>
      <c r="P1371" s="8"/>
      <c r="Q1371" s="8"/>
      <c r="R1371" s="8"/>
      <c r="S1371" s="8"/>
      <c r="T1371" s="8"/>
      <c r="U1371" s="8"/>
      <c r="V1371" s="8"/>
      <c r="W1371" s="8"/>
      <c r="X1371" s="8"/>
      <c r="Y1371" s="8"/>
      <c r="Z1371" s="8"/>
    </row>
    <row r="1372" spans="1:26" s="9" customFormat="1" ht="15.75">
      <c r="A1372" s="37" t="s">
        <v>176</v>
      </c>
      <c r="B1372" s="21">
        <v>0</v>
      </c>
      <c r="C1372" s="21">
        <v>2</v>
      </c>
      <c r="D1372" s="21">
        <v>0</v>
      </c>
      <c r="E1372" s="21">
        <v>0</v>
      </c>
      <c r="F1372" s="21">
        <v>0</v>
      </c>
      <c r="G1372" s="21">
        <v>2</v>
      </c>
      <c r="H1372" s="21">
        <v>0</v>
      </c>
      <c r="I1372" s="21">
        <v>3</v>
      </c>
      <c r="J1372" s="21">
        <v>1</v>
      </c>
      <c r="K1372" s="21">
        <v>2</v>
      </c>
      <c r="L1372" s="21">
        <v>0</v>
      </c>
      <c r="M1372" s="21">
        <v>2</v>
      </c>
      <c r="N1372" s="150">
        <f t="shared" si="2048"/>
        <v>12</v>
      </c>
      <c r="O1372" s="22">
        <f t="shared" si="2049"/>
        <v>1</v>
      </c>
      <c r="P1372" s="8"/>
      <c r="Q1372" s="8"/>
      <c r="R1372" s="8"/>
      <c r="S1372" s="8"/>
      <c r="T1372" s="8"/>
      <c r="U1372" s="8"/>
      <c r="V1372" s="8"/>
      <c r="W1372" s="8"/>
      <c r="X1372" s="8"/>
      <c r="Y1372" s="8"/>
      <c r="Z1372" s="8"/>
    </row>
    <row r="1373" spans="1:26" s="9" customFormat="1" ht="15.75">
      <c r="A1373" s="37" t="s">
        <v>164</v>
      </c>
      <c r="B1373" s="21">
        <v>0</v>
      </c>
      <c r="C1373" s="21">
        <v>0</v>
      </c>
      <c r="D1373" s="21">
        <v>0</v>
      </c>
      <c r="E1373" s="21">
        <v>0</v>
      </c>
      <c r="F1373" s="21">
        <v>0</v>
      </c>
      <c r="G1373" s="21">
        <v>0</v>
      </c>
      <c r="H1373" s="21">
        <v>0</v>
      </c>
      <c r="I1373" s="21">
        <v>0</v>
      </c>
      <c r="J1373" s="21">
        <v>0</v>
      </c>
      <c r="K1373" s="21">
        <v>0</v>
      </c>
      <c r="L1373" s="21">
        <v>0</v>
      </c>
      <c r="M1373" s="21">
        <v>0</v>
      </c>
      <c r="N1373" s="150">
        <f t="shared" si="2048"/>
        <v>0</v>
      </c>
      <c r="O1373" s="22">
        <f t="shared" si="2049"/>
        <v>0</v>
      </c>
      <c r="P1373" s="8"/>
      <c r="Q1373" s="8"/>
      <c r="R1373" s="8"/>
      <c r="S1373" s="8"/>
      <c r="T1373" s="8"/>
      <c r="U1373" s="8"/>
      <c r="V1373" s="8"/>
      <c r="W1373" s="8"/>
      <c r="X1373" s="8"/>
      <c r="Y1373" s="8"/>
      <c r="Z1373" s="8"/>
    </row>
    <row r="1374" spans="1:26" s="9" customFormat="1" ht="15.75">
      <c r="A1374" s="37" t="s">
        <v>177</v>
      </c>
      <c r="B1374" s="21">
        <v>4</v>
      </c>
      <c r="C1374" s="21">
        <v>7</v>
      </c>
      <c r="D1374" s="21">
        <v>5</v>
      </c>
      <c r="E1374" s="21">
        <v>1</v>
      </c>
      <c r="F1374" s="21">
        <v>4</v>
      </c>
      <c r="G1374" s="21">
        <v>1</v>
      </c>
      <c r="H1374" s="21">
        <v>0</v>
      </c>
      <c r="I1374" s="21">
        <v>4</v>
      </c>
      <c r="J1374" s="21">
        <f>6+2</f>
        <v>8</v>
      </c>
      <c r="K1374" s="21">
        <v>1</v>
      </c>
      <c r="L1374" s="21">
        <v>2</v>
      </c>
      <c r="M1374" s="21">
        <v>4</v>
      </c>
      <c r="N1374" s="150">
        <f t="shared" si="2048"/>
        <v>41</v>
      </c>
      <c r="O1374" s="22">
        <f t="shared" si="2049"/>
        <v>3.4166666666666665</v>
      </c>
      <c r="P1374" s="13"/>
      <c r="Q1374" s="13"/>
      <c r="R1374" s="13"/>
      <c r="S1374" s="13"/>
      <c r="T1374" s="13"/>
      <c r="U1374" s="13"/>
      <c r="V1374" s="13"/>
      <c r="W1374" s="13"/>
      <c r="X1374" s="13"/>
      <c r="Y1374" s="13"/>
      <c r="Z1374" s="13"/>
    </row>
    <row r="1375" spans="1:26" s="9" customFormat="1" ht="15.75">
      <c r="A1375" s="37" t="s">
        <v>22</v>
      </c>
      <c r="B1375" s="21">
        <v>0</v>
      </c>
      <c r="C1375" s="21">
        <v>0</v>
      </c>
      <c r="D1375" s="21">
        <v>0</v>
      </c>
      <c r="E1375" s="21">
        <v>0</v>
      </c>
      <c r="F1375" s="21">
        <v>0</v>
      </c>
      <c r="G1375" s="21">
        <v>0</v>
      </c>
      <c r="H1375" s="21">
        <v>0</v>
      </c>
      <c r="I1375" s="21">
        <v>0</v>
      </c>
      <c r="J1375" s="21">
        <v>0</v>
      </c>
      <c r="K1375" s="21">
        <v>0</v>
      </c>
      <c r="L1375" s="21">
        <v>0</v>
      </c>
      <c r="M1375" s="21">
        <v>0</v>
      </c>
      <c r="N1375" s="150">
        <f t="shared" si="2048"/>
        <v>0</v>
      </c>
      <c r="O1375" s="22">
        <f t="shared" si="2049"/>
        <v>0</v>
      </c>
      <c r="P1375" s="13"/>
      <c r="Q1375" s="13"/>
      <c r="R1375" s="13"/>
      <c r="S1375" s="13"/>
      <c r="T1375" s="13"/>
      <c r="U1375" s="13"/>
      <c r="V1375" s="13"/>
      <c r="W1375" s="13"/>
      <c r="X1375" s="13"/>
      <c r="Y1375" s="13"/>
      <c r="Z1375" s="13"/>
    </row>
    <row r="1376" spans="1:26" s="280" customFormat="1" ht="15.75">
      <c r="A1376" s="62" t="s">
        <v>21</v>
      </c>
      <c r="B1376" s="24">
        <f>SUM(B1369:B1375)</f>
        <v>26</v>
      </c>
      <c r="C1376" s="24">
        <f t="shared" ref="C1376:D1376" si="2050">SUM(C1369:C1375)</f>
        <v>25</v>
      </c>
      <c r="D1376" s="24">
        <f t="shared" si="2050"/>
        <v>19</v>
      </c>
      <c r="E1376" s="24">
        <f t="shared" ref="E1376:F1376" si="2051">SUM(E1369:E1375)</f>
        <v>12</v>
      </c>
      <c r="F1376" s="24">
        <f t="shared" si="2051"/>
        <v>13</v>
      </c>
      <c r="G1376" s="24">
        <f t="shared" ref="G1376" si="2052">SUM(G1369:G1375)</f>
        <v>17</v>
      </c>
      <c r="H1376" s="24">
        <f t="shared" ref="H1376:I1376" si="2053">SUM(H1369:H1375)</f>
        <v>0</v>
      </c>
      <c r="I1376" s="24">
        <f t="shared" si="2053"/>
        <v>25</v>
      </c>
      <c r="J1376" s="24">
        <f t="shared" ref="J1376:K1376" si="2054">SUM(J1369:J1375)</f>
        <v>35</v>
      </c>
      <c r="K1376" s="24">
        <f t="shared" si="2054"/>
        <v>18</v>
      </c>
      <c r="L1376" s="24">
        <f t="shared" ref="L1376:M1376" si="2055">SUM(L1369:L1375)</f>
        <v>18</v>
      </c>
      <c r="M1376" s="24">
        <f t="shared" si="2055"/>
        <v>16</v>
      </c>
      <c r="N1376" s="144">
        <f>SUM(N1369:N1375)</f>
        <v>224</v>
      </c>
      <c r="O1376" s="25">
        <f>SUM(O1369:O1375)</f>
        <v>18.666666666666664</v>
      </c>
      <c r="P1376" s="281"/>
      <c r="Q1376" s="281"/>
      <c r="R1376" s="281"/>
      <c r="S1376" s="281"/>
      <c r="T1376" s="281"/>
      <c r="U1376" s="281"/>
      <c r="V1376" s="281"/>
      <c r="W1376" s="281"/>
      <c r="X1376" s="281"/>
      <c r="Y1376" s="281"/>
      <c r="Z1376" s="281"/>
    </row>
    <row r="1377" spans="1:26" s="9" customFormat="1" ht="15.75">
      <c r="A1377" s="62" t="s">
        <v>112</v>
      </c>
      <c r="B1377" s="25">
        <f t="shared" ref="B1377:G1377" si="2056">IF(B1376=0,"",B1376/B$1870)</f>
        <v>0.83870967741935487</v>
      </c>
      <c r="C1377" s="25">
        <f t="shared" si="2056"/>
        <v>0.8928571428571429</v>
      </c>
      <c r="D1377" s="25">
        <f t="shared" si="2056"/>
        <v>0.61290322580645162</v>
      </c>
      <c r="E1377" s="25">
        <f t="shared" si="2056"/>
        <v>0.4</v>
      </c>
      <c r="F1377" s="25">
        <f t="shared" si="2056"/>
        <v>0.41935483870967744</v>
      </c>
      <c r="G1377" s="25">
        <f t="shared" si="2056"/>
        <v>0.56666666666666665</v>
      </c>
      <c r="H1377" s="25" t="s">
        <v>44</v>
      </c>
      <c r="I1377" s="25">
        <f t="shared" ref="I1377:J1377" si="2057">IF(I1376=0,"",I1376/I$1870)</f>
        <v>0.80645161290322576</v>
      </c>
      <c r="J1377" s="25">
        <f t="shared" si="2057"/>
        <v>1.1666666666666667</v>
      </c>
      <c r="K1377" s="25">
        <f t="shared" ref="K1377" si="2058">IF(K1376=0,"",K1376/K$1870)</f>
        <v>0.58064516129032262</v>
      </c>
      <c r="L1377" s="25">
        <f t="shared" ref="L1377:M1377" si="2059">IF(L1376=0,"",L1376/L$1870)</f>
        <v>0.6</v>
      </c>
      <c r="M1377" s="25">
        <f t="shared" si="2059"/>
        <v>0.5161290322580645</v>
      </c>
      <c r="N1377" s="144">
        <f>SUM(B1377:M1377)</f>
        <v>7.4003840245775727</v>
      </c>
      <c r="O1377" s="25">
        <f>IF(N1377=0,0,AVERAGE(B1377:M1377))</f>
        <v>0.67276218405250665</v>
      </c>
      <c r="P1377" s="13"/>
      <c r="Q1377" s="13"/>
      <c r="R1377" s="13"/>
      <c r="S1377" s="13"/>
      <c r="T1377" s="13"/>
      <c r="U1377" s="13"/>
      <c r="V1377" s="13"/>
      <c r="W1377" s="13"/>
      <c r="X1377" s="13"/>
      <c r="Y1377" s="13"/>
      <c r="Z1377" s="13"/>
    </row>
    <row r="1378" spans="1:26" s="9" customFormat="1" ht="15.75">
      <c r="A1378" s="67"/>
      <c r="B1378" s="68"/>
      <c r="C1378" s="68"/>
      <c r="D1378" s="68"/>
      <c r="E1378" s="68"/>
      <c r="F1378" s="68"/>
      <c r="G1378" s="68"/>
      <c r="H1378" s="68"/>
      <c r="I1378" s="68"/>
      <c r="J1378" s="68"/>
      <c r="K1378" s="68"/>
      <c r="L1378" s="68"/>
      <c r="M1378" s="68"/>
      <c r="N1378" s="161"/>
      <c r="O1378" s="69"/>
      <c r="P1378" s="13"/>
      <c r="Q1378" s="13"/>
      <c r="R1378" s="13"/>
      <c r="S1378" s="13"/>
      <c r="T1378" s="13"/>
      <c r="U1378" s="13"/>
      <c r="V1378" s="13"/>
      <c r="W1378" s="13"/>
      <c r="X1378" s="13"/>
      <c r="Y1378" s="13"/>
      <c r="Z1378" s="13"/>
    </row>
    <row r="1379" spans="1:26" s="9" customFormat="1" ht="15.75">
      <c r="A1379" s="66" t="s">
        <v>604</v>
      </c>
      <c r="B1379" s="18"/>
      <c r="C1379" s="18"/>
      <c r="D1379" s="18"/>
      <c r="E1379" s="18"/>
      <c r="F1379" s="18"/>
      <c r="G1379" s="18"/>
      <c r="H1379" s="18"/>
      <c r="I1379" s="18"/>
      <c r="J1379" s="18"/>
      <c r="K1379" s="18"/>
      <c r="L1379" s="18"/>
      <c r="M1379" s="18"/>
      <c r="N1379" s="149"/>
      <c r="O1379" s="19"/>
      <c r="P1379" s="13"/>
      <c r="Q1379" s="13"/>
      <c r="R1379" s="13"/>
      <c r="S1379" s="13"/>
      <c r="T1379" s="13"/>
      <c r="U1379" s="13"/>
      <c r="V1379" s="13"/>
      <c r="W1379" s="13"/>
      <c r="X1379" s="13"/>
      <c r="Y1379" s="13"/>
      <c r="Z1379" s="13"/>
    </row>
    <row r="1380" spans="1:26" s="9" customFormat="1" ht="15.75">
      <c r="A1380" s="40" t="s">
        <v>18</v>
      </c>
      <c r="B1380" s="21">
        <v>2</v>
      </c>
      <c r="C1380" s="21">
        <v>2</v>
      </c>
      <c r="D1380" s="21">
        <v>1</v>
      </c>
      <c r="E1380" s="21">
        <v>0</v>
      </c>
      <c r="F1380" s="21">
        <v>1</v>
      </c>
      <c r="G1380" s="21">
        <v>5</v>
      </c>
      <c r="H1380" s="21">
        <v>0</v>
      </c>
      <c r="I1380" s="21">
        <v>2</v>
      </c>
      <c r="J1380" s="21">
        <v>5</v>
      </c>
      <c r="K1380" s="21">
        <v>4</v>
      </c>
      <c r="L1380" s="21">
        <v>6</v>
      </c>
      <c r="M1380" s="21">
        <v>0</v>
      </c>
      <c r="N1380" s="150">
        <f>SUM(B1380:M1380)</f>
        <v>28</v>
      </c>
      <c r="O1380" s="22">
        <f>IF(N1380=0,0,AVERAGE(B1380:M1380))</f>
        <v>2.3333333333333335</v>
      </c>
      <c r="P1380" s="8"/>
      <c r="Q1380" s="8"/>
      <c r="R1380" s="8"/>
      <c r="S1380" s="8"/>
      <c r="T1380" s="8"/>
      <c r="U1380" s="8"/>
      <c r="V1380" s="8"/>
      <c r="W1380" s="8"/>
      <c r="X1380" s="8"/>
      <c r="Y1380" s="8"/>
      <c r="Z1380" s="8"/>
    </row>
    <row r="1381" spans="1:26" s="9" customFormat="1" ht="15.75">
      <c r="A1381" s="40" t="s">
        <v>19</v>
      </c>
      <c r="B1381" s="21">
        <v>23</v>
      </c>
      <c r="C1381" s="21">
        <v>20</v>
      </c>
      <c r="D1381" s="21">
        <v>11</v>
      </c>
      <c r="E1381" s="21">
        <v>10</v>
      </c>
      <c r="F1381" s="21">
        <v>10</v>
      </c>
      <c r="G1381" s="21">
        <f>9+1+2</f>
        <v>12</v>
      </c>
      <c r="H1381" s="21">
        <v>0</v>
      </c>
      <c r="I1381" s="21">
        <v>19</v>
      </c>
      <c r="J1381" s="21">
        <v>26</v>
      </c>
      <c r="K1381" s="21">
        <v>14</v>
      </c>
      <c r="L1381" s="21">
        <v>12</v>
      </c>
      <c r="M1381" s="21">
        <v>15</v>
      </c>
      <c r="N1381" s="150">
        <f>SUM(B1381:M1381)</f>
        <v>172</v>
      </c>
      <c r="O1381" s="22">
        <f>IF(N1381=0,0,AVERAGE(B1381:M1381))</f>
        <v>14.333333333333334</v>
      </c>
      <c r="P1381" s="13"/>
      <c r="Q1381" s="13"/>
      <c r="R1381" s="13"/>
      <c r="S1381" s="13"/>
      <c r="T1381" s="13"/>
      <c r="U1381" s="13"/>
      <c r="V1381" s="13"/>
      <c r="W1381" s="13"/>
      <c r="X1381" s="13"/>
      <c r="Y1381" s="13"/>
      <c r="Z1381" s="13"/>
    </row>
    <row r="1382" spans="1:26" s="9" customFormat="1" ht="15.75">
      <c r="A1382" s="40" t="s">
        <v>20</v>
      </c>
      <c r="B1382" s="21">
        <v>1</v>
      </c>
      <c r="C1382" s="21">
        <v>3</v>
      </c>
      <c r="D1382" s="21">
        <v>1</v>
      </c>
      <c r="E1382" s="21">
        <v>2</v>
      </c>
      <c r="F1382" s="21">
        <v>2</v>
      </c>
      <c r="G1382" s="21">
        <v>0</v>
      </c>
      <c r="H1382" s="21">
        <v>0</v>
      </c>
      <c r="I1382" s="21">
        <v>4</v>
      </c>
      <c r="J1382" s="21">
        <v>4</v>
      </c>
      <c r="K1382" s="21">
        <v>0</v>
      </c>
      <c r="L1382" s="21">
        <v>0</v>
      </c>
      <c r="M1382" s="21">
        <v>1</v>
      </c>
      <c r="N1382" s="150">
        <f>SUM(B1382:M1382)</f>
        <v>18</v>
      </c>
      <c r="O1382" s="22">
        <f>IF(N1382=0,0,AVERAGE(B1382:M1382))</f>
        <v>1.5</v>
      </c>
      <c r="P1382" s="8"/>
      <c r="Q1382" s="8"/>
      <c r="R1382" s="8"/>
      <c r="S1382" s="8"/>
      <c r="T1382" s="8"/>
      <c r="U1382" s="8"/>
      <c r="V1382" s="8"/>
      <c r="W1382" s="8"/>
      <c r="X1382" s="8"/>
      <c r="Y1382" s="8"/>
      <c r="Z1382" s="8"/>
    </row>
    <row r="1383" spans="1:26" s="280" customFormat="1" ht="15.75">
      <c r="A1383" s="62" t="s">
        <v>21</v>
      </c>
      <c r="B1383" s="24">
        <f t="shared" ref="B1383:C1383" si="2060">SUM(B1380:B1382)</f>
        <v>26</v>
      </c>
      <c r="C1383" s="24">
        <f t="shared" si="2060"/>
        <v>25</v>
      </c>
      <c r="D1383" s="24">
        <f t="shared" ref="D1383:E1383" si="2061">SUM(D1380:D1382)</f>
        <v>13</v>
      </c>
      <c r="E1383" s="24">
        <f t="shared" si="2061"/>
        <v>12</v>
      </c>
      <c r="F1383" s="24">
        <f t="shared" ref="F1383:G1383" si="2062">SUM(F1380:F1382)</f>
        <v>13</v>
      </c>
      <c r="G1383" s="24">
        <f t="shared" si="2062"/>
        <v>17</v>
      </c>
      <c r="H1383" s="24">
        <f t="shared" ref="H1383:I1383" si="2063">SUM(H1380:H1382)</f>
        <v>0</v>
      </c>
      <c r="I1383" s="24">
        <f t="shared" si="2063"/>
        <v>25</v>
      </c>
      <c r="J1383" s="24">
        <f t="shared" ref="J1383:K1383" si="2064">SUM(J1380:J1382)</f>
        <v>35</v>
      </c>
      <c r="K1383" s="24">
        <f t="shared" si="2064"/>
        <v>18</v>
      </c>
      <c r="L1383" s="24">
        <f t="shared" ref="L1383:M1383" si="2065">SUM(L1380:L1382)</f>
        <v>18</v>
      </c>
      <c r="M1383" s="24">
        <f t="shared" si="2065"/>
        <v>16</v>
      </c>
      <c r="N1383" s="144">
        <f>SUM(N1380:N1382)</f>
        <v>218</v>
      </c>
      <c r="O1383" s="25">
        <f>SUM(O1380:O1382)</f>
        <v>18.166666666666668</v>
      </c>
      <c r="P1383" s="279"/>
      <c r="Q1383" s="279"/>
      <c r="R1383" s="279"/>
      <c r="S1383" s="279"/>
      <c r="T1383" s="279"/>
      <c r="U1383" s="279"/>
      <c r="V1383" s="279"/>
      <c r="W1383" s="279"/>
      <c r="X1383" s="279"/>
      <c r="Y1383" s="279"/>
      <c r="Z1383" s="279"/>
    </row>
    <row r="1384" spans="1:26" s="9" customFormat="1" ht="15.75">
      <c r="A1384" s="62" t="s">
        <v>112</v>
      </c>
      <c r="B1384" s="25">
        <f t="shared" ref="B1384:G1384" si="2066">IF(B1383=0,"",B1383/B$1870)</f>
        <v>0.83870967741935487</v>
      </c>
      <c r="C1384" s="25">
        <f t="shared" si="2066"/>
        <v>0.8928571428571429</v>
      </c>
      <c r="D1384" s="25">
        <f t="shared" si="2066"/>
        <v>0.41935483870967744</v>
      </c>
      <c r="E1384" s="25">
        <f t="shared" si="2066"/>
        <v>0.4</v>
      </c>
      <c r="F1384" s="25">
        <f t="shared" si="2066"/>
        <v>0.41935483870967744</v>
      </c>
      <c r="G1384" s="25">
        <f t="shared" si="2066"/>
        <v>0.56666666666666665</v>
      </c>
      <c r="H1384" s="25" t="s">
        <v>44</v>
      </c>
      <c r="I1384" s="25">
        <f t="shared" ref="I1384:J1384" si="2067">IF(I1383=0,"",I1383/I$1870)</f>
        <v>0.80645161290322576</v>
      </c>
      <c r="J1384" s="25">
        <f t="shared" si="2067"/>
        <v>1.1666666666666667</v>
      </c>
      <c r="K1384" s="25">
        <f t="shared" ref="K1384:L1384" si="2068">IF(K1383=0,"",K1383/K$1870)</f>
        <v>0.58064516129032262</v>
      </c>
      <c r="L1384" s="25">
        <f t="shared" si="2068"/>
        <v>0.6</v>
      </c>
      <c r="M1384" s="25">
        <f t="shared" ref="M1384" si="2069">IF(M1383=0,"",M1383/M$1870)</f>
        <v>0.5161290322580645</v>
      </c>
      <c r="N1384" s="144">
        <f>SUM(B1384:M1384)</f>
        <v>7.2068356374807987</v>
      </c>
      <c r="O1384" s="25">
        <f>IF(N1384=0,0,AVERAGE(B1384:M1384))</f>
        <v>0.6551668761346181</v>
      </c>
      <c r="P1384" s="8"/>
      <c r="Q1384" s="8"/>
      <c r="R1384" s="8"/>
      <c r="S1384" s="8"/>
      <c r="T1384" s="8"/>
      <c r="U1384" s="8"/>
      <c r="V1384" s="8"/>
      <c r="W1384" s="8"/>
      <c r="X1384" s="8"/>
      <c r="Y1384" s="8"/>
      <c r="Z1384" s="8"/>
    </row>
    <row r="1385" spans="1:26" s="9" customFormat="1" ht="15.75">
      <c r="A1385" s="67"/>
      <c r="B1385" s="68"/>
      <c r="C1385" s="68"/>
      <c r="D1385" s="68"/>
      <c r="E1385" s="68"/>
      <c r="F1385" s="68"/>
      <c r="G1385" s="68"/>
      <c r="H1385" s="68"/>
      <c r="I1385" s="68"/>
      <c r="J1385" s="68"/>
      <c r="K1385" s="68"/>
      <c r="L1385" s="68"/>
      <c r="M1385" s="68"/>
      <c r="N1385" s="161"/>
      <c r="O1385" s="69"/>
      <c r="P1385" s="8"/>
      <c r="Q1385" s="8"/>
      <c r="R1385" s="8"/>
      <c r="S1385" s="8"/>
      <c r="T1385" s="8"/>
      <c r="U1385" s="8"/>
      <c r="V1385" s="8"/>
      <c r="W1385" s="8"/>
      <c r="X1385" s="8"/>
      <c r="Y1385" s="8"/>
      <c r="Z1385" s="8"/>
    </row>
    <row r="1386" spans="1:26" s="9" customFormat="1" ht="15.75">
      <c r="A1386" s="66" t="s">
        <v>605</v>
      </c>
      <c r="B1386" s="18"/>
      <c r="C1386" s="18"/>
      <c r="D1386" s="18"/>
      <c r="E1386" s="18"/>
      <c r="F1386" s="18"/>
      <c r="G1386" s="18"/>
      <c r="H1386" s="18"/>
      <c r="I1386" s="18"/>
      <c r="J1386" s="18"/>
      <c r="K1386" s="18"/>
      <c r="L1386" s="18"/>
      <c r="M1386" s="18"/>
      <c r="N1386" s="149"/>
      <c r="O1386" s="19"/>
      <c r="P1386" s="13"/>
      <c r="Q1386" s="13"/>
      <c r="R1386" s="13"/>
      <c r="S1386" s="13"/>
      <c r="T1386" s="13"/>
      <c r="U1386" s="13"/>
      <c r="V1386" s="13"/>
      <c r="W1386" s="13"/>
      <c r="X1386" s="13"/>
      <c r="Y1386" s="13"/>
      <c r="Z1386" s="13"/>
    </row>
    <row r="1387" spans="1:26" s="9" customFormat="1" ht="15.75">
      <c r="A1387" s="37" t="s">
        <v>641</v>
      </c>
      <c r="B1387" s="21">
        <v>8</v>
      </c>
      <c r="C1387" s="21">
        <v>4</v>
      </c>
      <c r="D1387" s="21">
        <v>5</v>
      </c>
      <c r="E1387" s="21">
        <v>5</v>
      </c>
      <c r="F1387" s="21">
        <v>4</v>
      </c>
      <c r="G1387" s="21">
        <v>5</v>
      </c>
      <c r="H1387" s="21">
        <v>0</v>
      </c>
      <c r="I1387" s="21">
        <v>5</v>
      </c>
      <c r="J1387" s="21">
        <v>7</v>
      </c>
      <c r="K1387" s="21">
        <v>7</v>
      </c>
      <c r="L1387" s="21">
        <v>9</v>
      </c>
      <c r="M1387" s="21">
        <v>8</v>
      </c>
      <c r="N1387" s="150">
        <f t="shared" ref="N1387:N1393" si="2070">SUM(B1387:M1387)</f>
        <v>67</v>
      </c>
      <c r="O1387" s="22">
        <f t="shared" ref="O1387:O1393" si="2071">IF(N1387=0,0,AVERAGE(B1387:M1387))</f>
        <v>5.583333333333333</v>
      </c>
      <c r="P1387" s="8"/>
      <c r="Q1387" s="8"/>
      <c r="R1387" s="8"/>
      <c r="S1387" s="8"/>
      <c r="T1387" s="8"/>
      <c r="U1387" s="8"/>
      <c r="V1387" s="8"/>
      <c r="W1387" s="8"/>
      <c r="X1387" s="8"/>
      <c r="Y1387" s="8"/>
      <c r="Z1387" s="8"/>
    </row>
    <row r="1388" spans="1:26" s="9" customFormat="1" ht="15.75">
      <c r="A1388" s="37" t="s">
        <v>410</v>
      </c>
      <c r="B1388" s="21">
        <v>86</v>
      </c>
      <c r="C1388" s="21">
        <v>56</v>
      </c>
      <c r="D1388" s="21">
        <v>56</v>
      </c>
      <c r="E1388" s="21">
        <v>38</v>
      </c>
      <c r="F1388" s="21">
        <v>25</v>
      </c>
      <c r="G1388" s="21">
        <v>50</v>
      </c>
      <c r="H1388" s="21">
        <v>0</v>
      </c>
      <c r="I1388" s="21">
        <v>71</v>
      </c>
      <c r="J1388" s="21">
        <v>83</v>
      </c>
      <c r="K1388" s="21">
        <v>100</v>
      </c>
      <c r="L1388" s="21">
        <v>86</v>
      </c>
      <c r="M1388" s="21">
        <v>69</v>
      </c>
      <c r="N1388" s="150">
        <f t="shared" si="2070"/>
        <v>720</v>
      </c>
      <c r="O1388" s="22">
        <f t="shared" si="2071"/>
        <v>60</v>
      </c>
      <c r="P1388" s="13"/>
      <c r="Q1388" s="13"/>
      <c r="R1388" s="13"/>
      <c r="S1388" s="13"/>
      <c r="T1388" s="13"/>
      <c r="U1388" s="13"/>
      <c r="V1388" s="13"/>
      <c r="W1388" s="13"/>
      <c r="X1388" s="13"/>
      <c r="Y1388" s="13"/>
      <c r="Z1388" s="13"/>
    </row>
    <row r="1389" spans="1:26" s="9" customFormat="1" ht="15.75">
      <c r="A1389" s="37" t="s">
        <v>642</v>
      </c>
      <c r="B1389" s="21">
        <v>8</v>
      </c>
      <c r="C1389" s="21">
        <v>5</v>
      </c>
      <c r="D1389" s="21">
        <v>3</v>
      </c>
      <c r="E1389" s="21">
        <v>2</v>
      </c>
      <c r="F1389" s="21">
        <v>4</v>
      </c>
      <c r="G1389" s="21">
        <v>3</v>
      </c>
      <c r="H1389" s="21">
        <v>0</v>
      </c>
      <c r="I1389" s="21">
        <v>2</v>
      </c>
      <c r="J1389" s="21">
        <v>13</v>
      </c>
      <c r="K1389" s="21">
        <v>9</v>
      </c>
      <c r="L1389" s="21">
        <v>7</v>
      </c>
      <c r="M1389" s="21">
        <v>5</v>
      </c>
      <c r="N1389" s="150">
        <f t="shared" si="2070"/>
        <v>61</v>
      </c>
      <c r="O1389" s="22">
        <f t="shared" si="2071"/>
        <v>5.083333333333333</v>
      </c>
      <c r="P1389" s="13"/>
      <c r="Q1389" s="13"/>
      <c r="R1389" s="13"/>
      <c r="S1389" s="13"/>
      <c r="T1389" s="13"/>
      <c r="U1389" s="13"/>
      <c r="V1389" s="13"/>
      <c r="W1389" s="13"/>
      <c r="X1389" s="13"/>
      <c r="Y1389" s="13"/>
      <c r="Z1389" s="13"/>
    </row>
    <row r="1390" spans="1:26" s="9" customFormat="1" ht="15.75">
      <c r="A1390" s="37" t="s">
        <v>176</v>
      </c>
      <c r="B1390" s="21">
        <v>68</v>
      </c>
      <c r="C1390" s="21">
        <v>45</v>
      </c>
      <c r="D1390" s="21">
        <v>42</v>
      </c>
      <c r="E1390" s="21">
        <v>33</v>
      </c>
      <c r="F1390" s="21">
        <v>26</v>
      </c>
      <c r="G1390" s="21">
        <v>29</v>
      </c>
      <c r="H1390" s="21">
        <v>0</v>
      </c>
      <c r="I1390" s="21">
        <v>80</v>
      </c>
      <c r="J1390" s="21">
        <v>97</v>
      </c>
      <c r="K1390" s="21">
        <v>61</v>
      </c>
      <c r="L1390" s="21">
        <v>72</v>
      </c>
      <c r="M1390" s="21">
        <v>63</v>
      </c>
      <c r="N1390" s="150">
        <f t="shared" si="2070"/>
        <v>616</v>
      </c>
      <c r="O1390" s="22">
        <f t="shared" si="2071"/>
        <v>51.333333333333336</v>
      </c>
      <c r="P1390" s="116"/>
      <c r="Q1390" s="116"/>
      <c r="R1390" s="116"/>
      <c r="S1390" s="116"/>
      <c r="T1390" s="116"/>
      <c r="U1390" s="116"/>
      <c r="V1390" s="116"/>
      <c r="W1390" s="116"/>
      <c r="X1390" s="116"/>
      <c r="Y1390" s="116"/>
      <c r="Z1390" s="116"/>
    </row>
    <row r="1391" spans="1:26" s="9" customFormat="1" ht="15.75">
      <c r="A1391" s="37" t="s">
        <v>164</v>
      </c>
      <c r="B1391" s="21">
        <v>0</v>
      </c>
      <c r="C1391" s="21">
        <v>0</v>
      </c>
      <c r="D1391" s="21">
        <v>0</v>
      </c>
      <c r="E1391" s="21">
        <v>0</v>
      </c>
      <c r="F1391" s="21">
        <v>0</v>
      </c>
      <c r="G1391" s="21">
        <v>0</v>
      </c>
      <c r="H1391" s="21">
        <v>0</v>
      </c>
      <c r="I1391" s="21">
        <v>0</v>
      </c>
      <c r="J1391" s="21">
        <v>0</v>
      </c>
      <c r="K1391" s="21">
        <v>0</v>
      </c>
      <c r="L1391" s="21">
        <v>0</v>
      </c>
      <c r="M1391" s="21">
        <v>0</v>
      </c>
      <c r="N1391" s="150">
        <f t="shared" si="2070"/>
        <v>0</v>
      </c>
      <c r="O1391" s="22">
        <f t="shared" si="2071"/>
        <v>0</v>
      </c>
      <c r="P1391" s="13"/>
      <c r="Q1391" s="13"/>
      <c r="R1391" s="13"/>
      <c r="S1391" s="13"/>
      <c r="T1391" s="13"/>
      <c r="U1391" s="13"/>
      <c r="V1391" s="13"/>
      <c r="W1391" s="13"/>
      <c r="X1391" s="13"/>
      <c r="Y1391" s="13"/>
      <c r="Z1391" s="13"/>
    </row>
    <row r="1392" spans="1:26" s="9" customFormat="1" ht="15.75">
      <c r="A1392" s="37" t="s">
        <v>177</v>
      </c>
      <c r="B1392" s="21">
        <v>18</v>
      </c>
      <c r="C1392" s="21">
        <v>11</v>
      </c>
      <c r="D1392" s="21">
        <v>15</v>
      </c>
      <c r="E1392" s="21">
        <v>3</v>
      </c>
      <c r="F1392" s="21">
        <v>10</v>
      </c>
      <c r="G1392" s="21">
        <v>10</v>
      </c>
      <c r="H1392" s="21">
        <v>0</v>
      </c>
      <c r="I1392" s="21">
        <v>14</v>
      </c>
      <c r="J1392" s="21">
        <v>15</v>
      </c>
      <c r="K1392" s="21">
        <v>17</v>
      </c>
      <c r="L1392" s="21">
        <v>11</v>
      </c>
      <c r="M1392" s="21">
        <v>11</v>
      </c>
      <c r="N1392" s="150">
        <f t="shared" si="2070"/>
        <v>135</v>
      </c>
      <c r="O1392" s="22">
        <f t="shared" si="2071"/>
        <v>11.25</v>
      </c>
      <c r="P1392" s="8"/>
      <c r="Q1392" s="8"/>
      <c r="R1392" s="8"/>
      <c r="S1392" s="8"/>
      <c r="T1392" s="8"/>
      <c r="U1392" s="8"/>
      <c r="V1392" s="8"/>
      <c r="W1392" s="8"/>
      <c r="X1392" s="8"/>
      <c r="Y1392" s="8"/>
      <c r="Z1392" s="8"/>
    </row>
    <row r="1393" spans="1:26" s="9" customFormat="1" ht="15.75">
      <c r="A1393" s="37" t="s">
        <v>22</v>
      </c>
      <c r="B1393" s="21">
        <v>0</v>
      </c>
      <c r="C1393" s="21">
        <v>0</v>
      </c>
      <c r="D1393" s="21">
        <v>0</v>
      </c>
      <c r="E1393" s="21">
        <v>0</v>
      </c>
      <c r="F1393" s="21">
        <v>0</v>
      </c>
      <c r="G1393" s="21">
        <v>0</v>
      </c>
      <c r="H1393" s="21">
        <v>0</v>
      </c>
      <c r="I1393" s="21">
        <v>0</v>
      </c>
      <c r="J1393" s="21">
        <v>0</v>
      </c>
      <c r="K1393" s="21">
        <v>0</v>
      </c>
      <c r="L1393" s="21">
        <v>0</v>
      </c>
      <c r="M1393" s="21">
        <v>0</v>
      </c>
      <c r="N1393" s="150">
        <f t="shared" si="2070"/>
        <v>0</v>
      </c>
      <c r="O1393" s="22">
        <f t="shared" si="2071"/>
        <v>0</v>
      </c>
      <c r="P1393" s="8"/>
      <c r="Q1393" s="8"/>
      <c r="R1393" s="8"/>
      <c r="S1393" s="8"/>
      <c r="T1393" s="8"/>
      <c r="U1393" s="8"/>
      <c r="V1393" s="8"/>
      <c r="W1393" s="8"/>
      <c r="X1393" s="8"/>
      <c r="Y1393" s="8"/>
      <c r="Z1393" s="8"/>
    </row>
    <row r="1394" spans="1:26" s="280" customFormat="1" ht="15.75">
      <c r="A1394" s="62" t="s">
        <v>21</v>
      </c>
      <c r="B1394" s="24">
        <f t="shared" ref="B1394:G1394" si="2072">SUM(B1387:B1393)</f>
        <v>188</v>
      </c>
      <c r="C1394" s="24">
        <f t="shared" si="2072"/>
        <v>121</v>
      </c>
      <c r="D1394" s="24">
        <f t="shared" si="2072"/>
        <v>121</v>
      </c>
      <c r="E1394" s="24">
        <f t="shared" si="2072"/>
        <v>81</v>
      </c>
      <c r="F1394" s="24">
        <f t="shared" si="2072"/>
        <v>69</v>
      </c>
      <c r="G1394" s="24">
        <f t="shared" si="2072"/>
        <v>97</v>
      </c>
      <c r="H1394" s="24">
        <f t="shared" ref="H1394" si="2073">SUM(H1387:H1393)</f>
        <v>0</v>
      </c>
      <c r="I1394" s="24">
        <f t="shared" ref="I1394:J1394" si="2074">SUM(I1387:I1393)</f>
        <v>172</v>
      </c>
      <c r="J1394" s="24">
        <f t="shared" si="2074"/>
        <v>215</v>
      </c>
      <c r="K1394" s="24">
        <f t="shared" ref="K1394:L1394" si="2075">SUM(K1387:K1393)</f>
        <v>194</v>
      </c>
      <c r="L1394" s="24">
        <f t="shared" si="2075"/>
        <v>185</v>
      </c>
      <c r="M1394" s="24">
        <f t="shared" ref="M1394" si="2076">SUM(M1387:M1393)</f>
        <v>156</v>
      </c>
      <c r="N1394" s="144">
        <f>SUM(N1387:N1393)</f>
        <v>1599</v>
      </c>
      <c r="O1394" s="25">
        <f>SUM(O1387:O1393)</f>
        <v>133.25</v>
      </c>
      <c r="P1394" s="279"/>
      <c r="Q1394" s="279"/>
      <c r="R1394" s="279"/>
      <c r="S1394" s="279"/>
      <c r="T1394" s="279"/>
      <c r="U1394" s="279"/>
      <c r="V1394" s="279"/>
      <c r="W1394" s="279"/>
      <c r="X1394" s="279"/>
      <c r="Y1394" s="279"/>
      <c r="Z1394" s="279"/>
    </row>
    <row r="1395" spans="1:26" s="9" customFormat="1" ht="15.75">
      <c r="A1395" s="62" t="s">
        <v>112</v>
      </c>
      <c r="B1395" s="25">
        <f t="shared" ref="B1395:G1395" si="2077">IF(B1394=0,"",B1394/B$1870)</f>
        <v>6.064516129032258</v>
      </c>
      <c r="C1395" s="25">
        <f t="shared" si="2077"/>
        <v>4.3214285714285712</v>
      </c>
      <c r="D1395" s="25">
        <f t="shared" si="2077"/>
        <v>3.903225806451613</v>
      </c>
      <c r="E1395" s="25">
        <f t="shared" si="2077"/>
        <v>2.7</v>
      </c>
      <c r="F1395" s="25">
        <f t="shared" si="2077"/>
        <v>2.225806451612903</v>
      </c>
      <c r="G1395" s="25">
        <f t="shared" si="2077"/>
        <v>3.2333333333333334</v>
      </c>
      <c r="H1395" s="25" t="s">
        <v>44</v>
      </c>
      <c r="I1395" s="25">
        <f t="shared" ref="I1395:J1395" si="2078">IF(I1394=0,"",I1394/I$1870)</f>
        <v>5.5483870967741939</v>
      </c>
      <c r="J1395" s="25">
        <f t="shared" si="2078"/>
        <v>7.166666666666667</v>
      </c>
      <c r="K1395" s="25">
        <f t="shared" ref="K1395:L1395" si="2079">IF(K1394=0,"",K1394/K$1870)</f>
        <v>6.258064516129032</v>
      </c>
      <c r="L1395" s="25">
        <f t="shared" si="2079"/>
        <v>6.166666666666667</v>
      </c>
      <c r="M1395" s="25">
        <f t="shared" ref="M1395" si="2080">IF(M1394=0,"",M1394/M$1870)</f>
        <v>5.032258064516129</v>
      </c>
      <c r="N1395" s="144">
        <f>SUM(B1395:M1395)</f>
        <v>52.620353302611363</v>
      </c>
      <c r="O1395" s="25">
        <f>IF(N1395=0,0,AVERAGE(B1395:M1395))</f>
        <v>4.7836684820555782</v>
      </c>
      <c r="P1395" s="8"/>
      <c r="Q1395" s="8"/>
      <c r="R1395" s="8"/>
      <c r="S1395" s="8"/>
      <c r="T1395" s="8"/>
      <c r="U1395" s="8"/>
      <c r="V1395" s="8"/>
      <c r="W1395" s="8"/>
      <c r="X1395" s="8"/>
      <c r="Y1395" s="8"/>
      <c r="Z1395" s="8"/>
    </row>
    <row r="1396" spans="1:26" s="9" customFormat="1">
      <c r="A1396" s="67"/>
      <c r="B1396" s="68"/>
      <c r="C1396" s="68"/>
      <c r="D1396" s="68"/>
      <c r="E1396" s="68"/>
      <c r="F1396" s="68"/>
      <c r="G1396" s="68"/>
      <c r="H1396" s="68"/>
      <c r="I1396" s="68"/>
      <c r="J1396" s="68"/>
      <c r="K1396" s="68"/>
      <c r="L1396" s="68"/>
      <c r="M1396" s="68"/>
      <c r="N1396" s="161"/>
      <c r="O1396" s="278"/>
      <c r="P1396" s="8"/>
      <c r="Q1396" s="8"/>
      <c r="R1396" s="8"/>
      <c r="S1396" s="8"/>
      <c r="T1396" s="8"/>
      <c r="U1396" s="8"/>
      <c r="V1396" s="8"/>
      <c r="W1396" s="8"/>
      <c r="X1396" s="8"/>
      <c r="Y1396" s="8"/>
      <c r="Z1396" s="8"/>
    </row>
    <row r="1397" spans="1:26" s="9" customFormat="1" ht="15.75">
      <c r="A1397" s="91" t="s">
        <v>153</v>
      </c>
      <c r="B1397" s="92">
        <f t="shared" ref="B1397:G1397" si="2081">B1383</f>
        <v>26</v>
      </c>
      <c r="C1397" s="92">
        <f t="shared" si="2081"/>
        <v>25</v>
      </c>
      <c r="D1397" s="92">
        <f t="shared" si="2081"/>
        <v>13</v>
      </c>
      <c r="E1397" s="92">
        <f t="shared" si="2081"/>
        <v>12</v>
      </c>
      <c r="F1397" s="92">
        <f t="shared" si="2081"/>
        <v>13</v>
      </c>
      <c r="G1397" s="92">
        <f t="shared" si="2081"/>
        <v>17</v>
      </c>
      <c r="H1397" s="92">
        <f t="shared" ref="H1397" si="2082">H1383</f>
        <v>0</v>
      </c>
      <c r="I1397" s="92">
        <f t="shared" ref="I1397:J1397" si="2083">I1383</f>
        <v>25</v>
      </c>
      <c r="J1397" s="92">
        <f t="shared" si="2083"/>
        <v>35</v>
      </c>
      <c r="K1397" s="92">
        <f t="shared" ref="K1397:L1397" si="2084">K1383</f>
        <v>18</v>
      </c>
      <c r="L1397" s="92">
        <f t="shared" si="2084"/>
        <v>18</v>
      </c>
      <c r="M1397" s="92">
        <f t="shared" ref="M1397" si="2085">M1383</f>
        <v>16</v>
      </c>
      <c r="N1397" s="150">
        <f>N1383</f>
        <v>218</v>
      </c>
      <c r="O1397" s="22">
        <f>O1383</f>
        <v>18.166666666666668</v>
      </c>
      <c r="P1397" s="8"/>
      <c r="Q1397" s="8"/>
      <c r="R1397" s="8"/>
      <c r="S1397" s="8"/>
      <c r="T1397" s="8"/>
      <c r="U1397" s="8"/>
      <c r="V1397" s="8"/>
      <c r="W1397" s="8"/>
      <c r="X1397" s="8"/>
      <c r="Y1397" s="8"/>
      <c r="Z1397" s="8"/>
    </row>
    <row r="1398" spans="1:26" s="9" customFormat="1" ht="15.75">
      <c r="A1398" s="91" t="s">
        <v>154</v>
      </c>
      <c r="B1398" s="92">
        <f t="shared" ref="B1398:C1398" si="2086">B1394</f>
        <v>188</v>
      </c>
      <c r="C1398" s="92">
        <f t="shared" si="2086"/>
        <v>121</v>
      </c>
      <c r="D1398" s="92">
        <f t="shared" ref="D1398:E1398" si="2087">D1394</f>
        <v>121</v>
      </c>
      <c r="E1398" s="92">
        <f t="shared" si="2087"/>
        <v>81</v>
      </c>
      <c r="F1398" s="92">
        <f t="shared" ref="F1398:G1398" si="2088">F1394</f>
        <v>69</v>
      </c>
      <c r="G1398" s="92">
        <f t="shared" si="2088"/>
        <v>97</v>
      </c>
      <c r="H1398" s="92">
        <f t="shared" ref="H1398" si="2089">H1394</f>
        <v>0</v>
      </c>
      <c r="I1398" s="92">
        <f t="shared" ref="I1398:J1398" si="2090">I1394</f>
        <v>172</v>
      </c>
      <c r="J1398" s="92">
        <f t="shared" si="2090"/>
        <v>215</v>
      </c>
      <c r="K1398" s="92">
        <f t="shared" ref="K1398:L1398" si="2091">K1394</f>
        <v>194</v>
      </c>
      <c r="L1398" s="92">
        <f t="shared" si="2091"/>
        <v>185</v>
      </c>
      <c r="M1398" s="92">
        <f t="shared" ref="M1398" si="2092">M1394</f>
        <v>156</v>
      </c>
      <c r="N1398" s="150">
        <f>N1394</f>
        <v>1599</v>
      </c>
      <c r="O1398" s="22">
        <f>O1394</f>
        <v>133.25</v>
      </c>
      <c r="P1398" s="8"/>
      <c r="Q1398" s="8"/>
      <c r="R1398" s="8"/>
      <c r="S1398" s="8"/>
      <c r="T1398" s="8"/>
      <c r="U1398" s="8"/>
      <c r="V1398" s="8"/>
      <c r="W1398" s="8"/>
      <c r="X1398" s="8"/>
      <c r="Y1398" s="8"/>
      <c r="Z1398" s="8"/>
    </row>
    <row r="1399" spans="1:26" s="9" customFormat="1" ht="15.75">
      <c r="A1399" s="381" t="s">
        <v>155</v>
      </c>
      <c r="B1399" s="372">
        <f t="shared" ref="B1399:C1399" si="2093">SUM(B1397:B1398)</f>
        <v>214</v>
      </c>
      <c r="C1399" s="372">
        <f t="shared" si="2093"/>
        <v>146</v>
      </c>
      <c r="D1399" s="372">
        <f t="shared" ref="D1399:E1399" si="2094">SUM(D1397:D1398)</f>
        <v>134</v>
      </c>
      <c r="E1399" s="372">
        <f t="shared" si="2094"/>
        <v>93</v>
      </c>
      <c r="F1399" s="372">
        <f t="shared" ref="F1399:G1399" si="2095">SUM(F1397:F1398)</f>
        <v>82</v>
      </c>
      <c r="G1399" s="372">
        <f t="shared" si="2095"/>
        <v>114</v>
      </c>
      <c r="H1399" s="372">
        <f t="shared" ref="H1399" si="2096">SUM(H1397:H1398)</f>
        <v>0</v>
      </c>
      <c r="I1399" s="372">
        <f t="shared" ref="I1399:J1399" si="2097">SUM(I1397:I1398)</f>
        <v>197</v>
      </c>
      <c r="J1399" s="372">
        <f t="shared" si="2097"/>
        <v>250</v>
      </c>
      <c r="K1399" s="372">
        <f t="shared" ref="K1399:L1399" si="2098">SUM(K1397:K1398)</f>
        <v>212</v>
      </c>
      <c r="L1399" s="372">
        <f t="shared" si="2098"/>
        <v>203</v>
      </c>
      <c r="M1399" s="372">
        <f t="shared" ref="M1399" si="2099">SUM(M1397:M1398)</f>
        <v>172</v>
      </c>
      <c r="N1399" s="373">
        <f>SUM(N1397:N1398)</f>
        <v>1817</v>
      </c>
      <c r="O1399" s="374">
        <f>SUM(O1397:O1398)</f>
        <v>151.41666666666666</v>
      </c>
      <c r="P1399" s="8"/>
      <c r="Q1399" s="8"/>
      <c r="R1399" s="8"/>
      <c r="S1399" s="8"/>
      <c r="T1399" s="8"/>
      <c r="U1399" s="8"/>
      <c r="V1399" s="8"/>
      <c r="W1399" s="8"/>
      <c r="X1399" s="8"/>
      <c r="Y1399" s="8"/>
      <c r="Z1399" s="8"/>
    </row>
    <row r="1400" spans="1:26" s="9" customFormat="1" ht="15.75">
      <c r="A1400" s="137"/>
      <c r="B1400" s="138"/>
      <c r="C1400" s="138"/>
      <c r="D1400" s="138"/>
      <c r="E1400" s="138"/>
      <c r="F1400" s="138"/>
      <c r="G1400" s="138"/>
      <c r="H1400" s="138"/>
      <c r="I1400" s="138"/>
      <c r="J1400" s="138"/>
      <c r="K1400" s="138"/>
      <c r="L1400" s="138"/>
      <c r="M1400" s="138"/>
      <c r="N1400" s="177"/>
      <c r="O1400" s="139"/>
      <c r="P1400" s="8"/>
      <c r="Q1400" s="8"/>
      <c r="R1400" s="8"/>
      <c r="S1400" s="8"/>
      <c r="T1400" s="8"/>
      <c r="U1400" s="8"/>
      <c r="V1400" s="8"/>
      <c r="W1400" s="8"/>
      <c r="X1400" s="8"/>
      <c r="Y1400" s="8"/>
      <c r="Z1400" s="8"/>
    </row>
    <row r="1401" spans="1:26" s="9" customFormat="1" ht="15.75">
      <c r="A1401" s="404" t="s">
        <v>797</v>
      </c>
      <c r="B1401" s="392"/>
      <c r="C1401" s="392"/>
      <c r="D1401" s="392"/>
      <c r="E1401" s="392"/>
      <c r="F1401" s="392"/>
      <c r="G1401" s="392"/>
      <c r="H1401" s="392"/>
      <c r="I1401" s="392"/>
      <c r="J1401" s="392"/>
      <c r="K1401" s="392"/>
      <c r="L1401" s="392"/>
      <c r="M1401" s="392"/>
      <c r="N1401" s="393"/>
      <c r="O1401" s="394"/>
      <c r="P1401" s="8"/>
      <c r="Q1401" s="8"/>
      <c r="R1401" s="8"/>
      <c r="S1401" s="8"/>
      <c r="T1401" s="8"/>
      <c r="U1401" s="8"/>
      <c r="V1401" s="8"/>
      <c r="W1401" s="8"/>
      <c r="X1401" s="8"/>
      <c r="Y1401" s="8"/>
      <c r="Z1401" s="8"/>
    </row>
    <row r="1402" spans="1:26" s="9" customFormat="1" ht="15.75">
      <c r="A1402" s="395" t="s">
        <v>798</v>
      </c>
      <c r="B1402" s="392"/>
      <c r="C1402" s="392"/>
      <c r="D1402" s="392"/>
      <c r="E1402" s="392"/>
      <c r="F1402" s="392"/>
      <c r="G1402" s="392"/>
      <c r="H1402" s="392"/>
      <c r="I1402" s="392"/>
      <c r="J1402" s="392"/>
      <c r="K1402" s="392"/>
      <c r="L1402" s="392"/>
      <c r="M1402" s="392"/>
      <c r="N1402" s="393"/>
      <c r="O1402" s="394"/>
      <c r="P1402" s="8"/>
      <c r="Q1402" s="8"/>
      <c r="R1402" s="8"/>
      <c r="S1402" s="8"/>
      <c r="T1402" s="8"/>
      <c r="U1402" s="8"/>
      <c r="V1402" s="8"/>
      <c r="W1402" s="8"/>
      <c r="X1402" s="8"/>
      <c r="Y1402" s="8"/>
      <c r="Z1402" s="8"/>
    </row>
    <row r="1403" spans="1:26" s="9" customFormat="1" ht="15.75">
      <c r="A1403" s="37" t="s">
        <v>717</v>
      </c>
      <c r="B1403" s="21">
        <f t="shared" ref="B1403:G1403" si="2100">B1414+B1432</f>
        <v>41</v>
      </c>
      <c r="C1403" s="21">
        <f t="shared" si="2100"/>
        <v>28</v>
      </c>
      <c r="D1403" s="21">
        <f t="shared" si="2100"/>
        <v>22</v>
      </c>
      <c r="E1403" s="21">
        <f t="shared" si="2100"/>
        <v>14</v>
      </c>
      <c r="F1403" s="21">
        <f t="shared" si="2100"/>
        <v>26</v>
      </c>
      <c r="G1403" s="21">
        <f t="shared" si="2100"/>
        <v>41</v>
      </c>
      <c r="H1403" s="21">
        <f t="shared" ref="H1403:I1403" si="2101">H1414+H1432</f>
        <v>10</v>
      </c>
      <c r="I1403" s="21">
        <f t="shared" si="2101"/>
        <v>53</v>
      </c>
      <c r="J1403" s="21">
        <f t="shared" ref="J1403:K1403" si="2102">J1414+J1432</f>
        <v>49</v>
      </c>
      <c r="K1403" s="21">
        <f t="shared" si="2102"/>
        <v>1</v>
      </c>
      <c r="L1403" s="21">
        <v>0</v>
      </c>
      <c r="M1403" s="21">
        <v>0</v>
      </c>
      <c r="N1403" s="150">
        <f t="shared" ref="N1403:N1409" si="2103">SUM(B1403:M1403)</f>
        <v>285</v>
      </c>
      <c r="O1403" s="22">
        <f t="shared" ref="O1403:O1409" si="2104">IF(N1403=0,0,AVERAGE(B1403:M1403))</f>
        <v>23.75</v>
      </c>
      <c r="P1403" s="8"/>
      <c r="Q1403" s="8"/>
      <c r="R1403" s="8"/>
      <c r="S1403" s="8"/>
      <c r="T1403" s="8"/>
      <c r="U1403" s="8"/>
      <c r="V1403" s="8"/>
      <c r="W1403" s="8"/>
      <c r="X1403" s="8"/>
      <c r="Y1403" s="8"/>
      <c r="Z1403" s="8"/>
    </row>
    <row r="1404" spans="1:26" s="9" customFormat="1" ht="15.75">
      <c r="A1404" s="37" t="s">
        <v>718</v>
      </c>
      <c r="B1404" s="21">
        <f t="shared" ref="B1404:C1409" si="2105">B1415+B1433</f>
        <v>0</v>
      </c>
      <c r="C1404" s="21">
        <f t="shared" si="2105"/>
        <v>0</v>
      </c>
      <c r="D1404" s="21">
        <f t="shared" ref="D1404:E1404" si="2106">D1415+D1433</f>
        <v>1</v>
      </c>
      <c r="E1404" s="21">
        <f t="shared" si="2106"/>
        <v>1</v>
      </c>
      <c r="F1404" s="21">
        <f t="shared" ref="F1404:G1404" si="2107">F1415+F1433</f>
        <v>1</v>
      </c>
      <c r="G1404" s="21">
        <f t="shared" si="2107"/>
        <v>0</v>
      </c>
      <c r="H1404" s="21">
        <f t="shared" ref="H1404:I1404" si="2108">H1415+H1433</f>
        <v>0</v>
      </c>
      <c r="I1404" s="21">
        <f t="shared" si="2108"/>
        <v>0</v>
      </c>
      <c r="J1404" s="21">
        <f t="shared" ref="J1404:K1404" si="2109">J1415+J1433</f>
        <v>0</v>
      </c>
      <c r="K1404" s="21">
        <f t="shared" si="2109"/>
        <v>0</v>
      </c>
      <c r="L1404" s="21">
        <v>0</v>
      </c>
      <c r="M1404" s="21">
        <v>0</v>
      </c>
      <c r="N1404" s="150">
        <f t="shared" si="2103"/>
        <v>3</v>
      </c>
      <c r="O1404" s="22">
        <f t="shared" si="2104"/>
        <v>0.25</v>
      </c>
      <c r="P1404" s="8"/>
      <c r="Q1404" s="8"/>
      <c r="R1404" s="8"/>
      <c r="S1404" s="8"/>
      <c r="T1404" s="8"/>
      <c r="U1404" s="8"/>
      <c r="V1404" s="8"/>
      <c r="W1404" s="8"/>
      <c r="X1404" s="8"/>
      <c r="Y1404" s="8"/>
      <c r="Z1404" s="8"/>
    </row>
    <row r="1405" spans="1:26" s="9" customFormat="1" ht="15.75">
      <c r="A1405" s="37" t="s">
        <v>719</v>
      </c>
      <c r="B1405" s="21">
        <f t="shared" si="2105"/>
        <v>0</v>
      </c>
      <c r="C1405" s="21">
        <f t="shared" si="2105"/>
        <v>0</v>
      </c>
      <c r="D1405" s="21">
        <f t="shared" ref="D1405:E1405" si="2110">D1416+D1434</f>
        <v>0</v>
      </c>
      <c r="E1405" s="21">
        <f t="shared" si="2110"/>
        <v>0</v>
      </c>
      <c r="F1405" s="21">
        <f t="shared" ref="F1405:G1405" si="2111">F1416+F1434</f>
        <v>0</v>
      </c>
      <c r="G1405" s="21">
        <f t="shared" si="2111"/>
        <v>0</v>
      </c>
      <c r="H1405" s="21">
        <f t="shared" ref="H1405:I1405" si="2112">H1416+H1434</f>
        <v>0</v>
      </c>
      <c r="I1405" s="21">
        <f t="shared" si="2112"/>
        <v>0</v>
      </c>
      <c r="J1405" s="21">
        <f t="shared" ref="J1405:K1405" si="2113">J1416+J1434</f>
        <v>1</v>
      </c>
      <c r="K1405" s="21">
        <f t="shared" si="2113"/>
        <v>0</v>
      </c>
      <c r="L1405" s="21">
        <v>0</v>
      </c>
      <c r="M1405" s="21">
        <v>0</v>
      </c>
      <c r="N1405" s="150">
        <f t="shared" si="2103"/>
        <v>1</v>
      </c>
      <c r="O1405" s="22">
        <f t="shared" si="2104"/>
        <v>8.3333333333333329E-2</v>
      </c>
      <c r="P1405" s="8"/>
      <c r="Q1405" s="8"/>
      <c r="R1405" s="8"/>
      <c r="S1405" s="8"/>
      <c r="T1405" s="8"/>
      <c r="U1405" s="8"/>
      <c r="V1405" s="8"/>
      <c r="W1405" s="8"/>
      <c r="X1405" s="8"/>
      <c r="Y1405" s="8"/>
      <c r="Z1405" s="8"/>
    </row>
    <row r="1406" spans="1:26" s="9" customFormat="1" ht="15.75">
      <c r="A1406" s="37" t="s">
        <v>720</v>
      </c>
      <c r="B1406" s="21">
        <f t="shared" si="2105"/>
        <v>0</v>
      </c>
      <c r="C1406" s="21">
        <f t="shared" si="2105"/>
        <v>1</v>
      </c>
      <c r="D1406" s="21">
        <f t="shared" ref="D1406:E1406" si="2114">D1417+D1435</f>
        <v>1</v>
      </c>
      <c r="E1406" s="21">
        <f t="shared" si="2114"/>
        <v>0</v>
      </c>
      <c r="F1406" s="21">
        <f t="shared" ref="F1406:G1406" si="2115">F1417+F1435</f>
        <v>0</v>
      </c>
      <c r="G1406" s="21">
        <f t="shared" si="2115"/>
        <v>0</v>
      </c>
      <c r="H1406" s="21">
        <f t="shared" ref="H1406:I1406" si="2116">H1417+H1435</f>
        <v>0</v>
      </c>
      <c r="I1406" s="21">
        <f t="shared" si="2116"/>
        <v>0</v>
      </c>
      <c r="J1406" s="21">
        <f t="shared" ref="J1406:K1406" si="2117">J1417+J1435</f>
        <v>0</v>
      </c>
      <c r="K1406" s="21">
        <f t="shared" si="2117"/>
        <v>0</v>
      </c>
      <c r="L1406" s="21">
        <v>0</v>
      </c>
      <c r="M1406" s="21">
        <v>0</v>
      </c>
      <c r="N1406" s="150">
        <f t="shared" si="2103"/>
        <v>2</v>
      </c>
      <c r="O1406" s="22">
        <f t="shared" si="2104"/>
        <v>0.16666666666666666</v>
      </c>
      <c r="P1406" s="8"/>
      <c r="Q1406" s="8"/>
      <c r="R1406" s="8"/>
      <c r="S1406" s="8"/>
      <c r="T1406" s="8"/>
      <c r="U1406" s="8"/>
      <c r="V1406" s="8"/>
      <c r="W1406" s="8"/>
      <c r="X1406" s="8"/>
      <c r="Y1406" s="8"/>
      <c r="Z1406" s="8"/>
    </row>
    <row r="1407" spans="1:26" s="9" customFormat="1" ht="15.75">
      <c r="A1407" s="37" t="s">
        <v>721</v>
      </c>
      <c r="B1407" s="21">
        <f t="shared" si="2105"/>
        <v>0</v>
      </c>
      <c r="C1407" s="21">
        <f t="shared" si="2105"/>
        <v>0</v>
      </c>
      <c r="D1407" s="21">
        <f t="shared" ref="D1407:E1407" si="2118">D1418+D1436</f>
        <v>2</v>
      </c>
      <c r="E1407" s="21">
        <f t="shared" si="2118"/>
        <v>0</v>
      </c>
      <c r="F1407" s="21">
        <f t="shared" ref="F1407:G1407" si="2119">F1418+F1436</f>
        <v>1</v>
      </c>
      <c r="G1407" s="21">
        <f t="shared" si="2119"/>
        <v>0</v>
      </c>
      <c r="H1407" s="21">
        <f t="shared" ref="H1407:I1407" si="2120">H1418+H1436</f>
        <v>0</v>
      </c>
      <c r="I1407" s="21">
        <f t="shared" si="2120"/>
        <v>2</v>
      </c>
      <c r="J1407" s="21">
        <f t="shared" ref="J1407:K1407" si="2121">J1418+J1436</f>
        <v>1</v>
      </c>
      <c r="K1407" s="21">
        <f t="shared" si="2121"/>
        <v>0</v>
      </c>
      <c r="L1407" s="21">
        <v>0</v>
      </c>
      <c r="M1407" s="21">
        <v>0</v>
      </c>
      <c r="N1407" s="150">
        <f t="shared" si="2103"/>
        <v>6</v>
      </c>
      <c r="O1407" s="22">
        <f t="shared" si="2104"/>
        <v>0.5</v>
      </c>
      <c r="P1407" s="8"/>
      <c r="Q1407" s="8"/>
      <c r="R1407" s="8"/>
      <c r="S1407" s="8"/>
      <c r="T1407" s="8"/>
      <c r="U1407" s="8"/>
      <c r="V1407" s="8"/>
      <c r="W1407" s="8"/>
      <c r="X1407" s="8"/>
      <c r="Y1407" s="8"/>
      <c r="Z1407" s="8"/>
    </row>
    <row r="1408" spans="1:26" s="9" customFormat="1" ht="15.75">
      <c r="A1408" s="37" t="s">
        <v>722</v>
      </c>
      <c r="B1408" s="21">
        <f t="shared" si="2105"/>
        <v>0</v>
      </c>
      <c r="C1408" s="21">
        <f t="shared" si="2105"/>
        <v>1</v>
      </c>
      <c r="D1408" s="21">
        <f t="shared" ref="D1408:E1408" si="2122">D1419+D1437</f>
        <v>4</v>
      </c>
      <c r="E1408" s="21">
        <f t="shared" si="2122"/>
        <v>1</v>
      </c>
      <c r="F1408" s="21">
        <f t="shared" ref="F1408:G1408" si="2123">F1419+F1437</f>
        <v>0</v>
      </c>
      <c r="G1408" s="21">
        <f t="shared" si="2123"/>
        <v>2</v>
      </c>
      <c r="H1408" s="21">
        <f t="shared" ref="H1408:I1408" si="2124">H1419+H1437</f>
        <v>0</v>
      </c>
      <c r="I1408" s="21">
        <f t="shared" si="2124"/>
        <v>0</v>
      </c>
      <c r="J1408" s="21">
        <f t="shared" ref="J1408:K1408" si="2125">J1419+J1437</f>
        <v>0</v>
      </c>
      <c r="K1408" s="21">
        <f t="shared" si="2125"/>
        <v>1</v>
      </c>
      <c r="L1408" s="21">
        <v>0</v>
      </c>
      <c r="M1408" s="21">
        <v>0</v>
      </c>
      <c r="N1408" s="150">
        <f t="shared" si="2103"/>
        <v>9</v>
      </c>
      <c r="O1408" s="22">
        <f t="shared" si="2104"/>
        <v>0.75</v>
      </c>
      <c r="P1408" s="8"/>
      <c r="Q1408" s="8"/>
      <c r="R1408" s="8"/>
      <c r="S1408" s="8"/>
      <c r="T1408" s="8"/>
      <c r="U1408" s="8"/>
      <c r="V1408" s="8"/>
      <c r="W1408" s="8"/>
      <c r="X1408" s="8"/>
      <c r="Y1408" s="8"/>
      <c r="Z1408" s="8"/>
    </row>
    <row r="1409" spans="1:26" s="9" customFormat="1" ht="15.75">
      <c r="A1409" s="37" t="s">
        <v>22</v>
      </c>
      <c r="B1409" s="21">
        <f t="shared" si="2105"/>
        <v>0</v>
      </c>
      <c r="C1409" s="21">
        <f t="shared" si="2105"/>
        <v>0</v>
      </c>
      <c r="D1409" s="21">
        <f t="shared" ref="D1409:E1409" si="2126">D1420+D1438</f>
        <v>0</v>
      </c>
      <c r="E1409" s="21">
        <f t="shared" si="2126"/>
        <v>0</v>
      </c>
      <c r="F1409" s="21">
        <f t="shared" ref="F1409:G1409" si="2127">F1420+F1438</f>
        <v>0</v>
      </c>
      <c r="G1409" s="21">
        <f t="shared" si="2127"/>
        <v>0</v>
      </c>
      <c r="H1409" s="21">
        <f t="shared" ref="H1409:I1409" si="2128">H1420+H1438</f>
        <v>0</v>
      </c>
      <c r="I1409" s="21">
        <f t="shared" si="2128"/>
        <v>0</v>
      </c>
      <c r="J1409" s="21">
        <f t="shared" ref="J1409:K1409" si="2129">J1420+J1438</f>
        <v>0</v>
      </c>
      <c r="K1409" s="21">
        <f t="shared" si="2129"/>
        <v>0</v>
      </c>
      <c r="L1409" s="21">
        <v>0</v>
      </c>
      <c r="M1409" s="21">
        <v>0</v>
      </c>
      <c r="N1409" s="150">
        <f t="shared" si="2103"/>
        <v>0</v>
      </c>
      <c r="O1409" s="22">
        <f t="shared" si="2104"/>
        <v>0</v>
      </c>
      <c r="P1409" s="8"/>
      <c r="Q1409" s="8"/>
      <c r="R1409" s="8"/>
      <c r="S1409" s="8"/>
      <c r="T1409" s="8"/>
      <c r="U1409" s="8"/>
      <c r="V1409" s="8"/>
      <c r="W1409" s="8"/>
      <c r="X1409" s="8"/>
      <c r="Y1409" s="8"/>
      <c r="Z1409" s="8"/>
    </row>
    <row r="1410" spans="1:26" s="9" customFormat="1" ht="15.75">
      <c r="A1410" s="62" t="s">
        <v>21</v>
      </c>
      <c r="B1410" s="24">
        <f t="shared" ref="B1410:G1410" si="2130">SUM(B1403:B1409)</f>
        <v>41</v>
      </c>
      <c r="C1410" s="24">
        <f t="shared" si="2130"/>
        <v>30</v>
      </c>
      <c r="D1410" s="24">
        <f t="shared" si="2130"/>
        <v>30</v>
      </c>
      <c r="E1410" s="24">
        <f t="shared" si="2130"/>
        <v>16</v>
      </c>
      <c r="F1410" s="24">
        <f t="shared" si="2130"/>
        <v>28</v>
      </c>
      <c r="G1410" s="24">
        <f t="shared" si="2130"/>
        <v>43</v>
      </c>
      <c r="H1410" s="24">
        <f t="shared" ref="H1410:I1410" si="2131">SUM(H1403:H1409)</f>
        <v>10</v>
      </c>
      <c r="I1410" s="24">
        <f t="shared" si="2131"/>
        <v>55</v>
      </c>
      <c r="J1410" s="24">
        <f t="shared" ref="J1410:K1410" si="2132">SUM(J1403:J1409)</f>
        <v>51</v>
      </c>
      <c r="K1410" s="24">
        <f t="shared" si="2132"/>
        <v>2</v>
      </c>
      <c r="L1410" s="24">
        <f t="shared" ref="L1410:M1410" si="2133">SUM(L1403:L1409)</f>
        <v>0</v>
      </c>
      <c r="M1410" s="24">
        <f t="shared" si="2133"/>
        <v>0</v>
      </c>
      <c r="N1410" s="144">
        <f>SUM(N1403:N1409)</f>
        <v>306</v>
      </c>
      <c r="O1410" s="25">
        <f>SUM(O1403:O1409)</f>
        <v>25.5</v>
      </c>
      <c r="P1410" s="8"/>
      <c r="Q1410" s="8"/>
      <c r="R1410" s="8"/>
      <c r="S1410" s="8"/>
      <c r="T1410" s="8"/>
      <c r="U1410" s="8"/>
      <c r="V1410" s="8"/>
      <c r="W1410" s="8"/>
      <c r="X1410" s="8"/>
      <c r="Y1410" s="8"/>
      <c r="Z1410" s="8"/>
    </row>
    <row r="1411" spans="1:26" s="9" customFormat="1" ht="15.75">
      <c r="A1411" s="62" t="s">
        <v>112</v>
      </c>
      <c r="B1411" s="25">
        <f t="shared" ref="B1411:G1411" si="2134">IF(B1410=0,"",B1410/B$1870)</f>
        <v>1.3225806451612903</v>
      </c>
      <c r="C1411" s="25">
        <f t="shared" si="2134"/>
        <v>1.0714285714285714</v>
      </c>
      <c r="D1411" s="25">
        <f t="shared" si="2134"/>
        <v>0.967741935483871</v>
      </c>
      <c r="E1411" s="25">
        <f t="shared" si="2134"/>
        <v>0.53333333333333333</v>
      </c>
      <c r="F1411" s="25">
        <f t="shared" si="2134"/>
        <v>0.90322580645161288</v>
      </c>
      <c r="G1411" s="25">
        <f t="shared" si="2134"/>
        <v>1.4333333333333333</v>
      </c>
      <c r="H1411" s="25">
        <f t="shared" ref="H1411:I1411" si="2135">IF(H1410=0,"",H1410/H$1870)</f>
        <v>0.32258064516129031</v>
      </c>
      <c r="I1411" s="25">
        <f t="shared" si="2135"/>
        <v>1.7741935483870968</v>
      </c>
      <c r="J1411" s="25">
        <f t="shared" ref="J1411:K1411" si="2136">IF(J1410=0,"",J1410/J$1870)</f>
        <v>1.7</v>
      </c>
      <c r="K1411" s="25">
        <f t="shared" si="2136"/>
        <v>6.4516129032258063E-2</v>
      </c>
      <c r="L1411" s="25" t="s">
        <v>44</v>
      </c>
      <c r="M1411" s="25" t="s">
        <v>44</v>
      </c>
      <c r="N1411" s="144">
        <f>SUM(B1411:M1411)</f>
        <v>10.092933947772655</v>
      </c>
      <c r="O1411" s="25">
        <f>IF(N1411=0,0,AVERAGE(B1411:M1411))</f>
        <v>1.0092933947772655</v>
      </c>
      <c r="P1411" s="8"/>
      <c r="Q1411" s="8"/>
      <c r="R1411" s="8"/>
      <c r="S1411" s="8"/>
      <c r="T1411" s="8"/>
      <c r="U1411" s="8"/>
      <c r="V1411" s="8"/>
      <c r="W1411" s="8"/>
      <c r="X1411" s="8"/>
      <c r="Y1411" s="8"/>
      <c r="Z1411" s="8"/>
    </row>
    <row r="1412" spans="1:26" s="9" customFormat="1" ht="15.75">
      <c r="A1412" s="26"/>
      <c r="B1412" s="27"/>
      <c r="C1412" s="27"/>
      <c r="D1412" s="27"/>
      <c r="E1412" s="28"/>
      <c r="F1412" s="28"/>
      <c r="G1412" s="28"/>
      <c r="H1412" s="28"/>
      <c r="I1412" s="28"/>
      <c r="J1412" s="28"/>
      <c r="K1412" s="28"/>
      <c r="L1412" s="28"/>
      <c r="M1412" s="28"/>
      <c r="N1412" s="151"/>
      <c r="O1412" s="57"/>
      <c r="P1412" s="8"/>
      <c r="Q1412" s="8"/>
      <c r="R1412" s="8"/>
      <c r="S1412" s="8"/>
      <c r="T1412" s="8"/>
      <c r="U1412" s="8"/>
      <c r="V1412" s="8"/>
      <c r="W1412" s="8"/>
      <c r="X1412" s="8"/>
      <c r="Y1412" s="8"/>
      <c r="Z1412" s="8"/>
    </row>
    <row r="1413" spans="1:26" s="9" customFormat="1" ht="15.75">
      <c r="A1413" s="66" t="s">
        <v>799</v>
      </c>
      <c r="B1413" s="18"/>
      <c r="C1413" s="18"/>
      <c r="D1413" s="18"/>
      <c r="E1413" s="18"/>
      <c r="F1413" s="18"/>
      <c r="G1413" s="18"/>
      <c r="H1413" s="18"/>
      <c r="I1413" s="18"/>
      <c r="J1413" s="18"/>
      <c r="K1413" s="18"/>
      <c r="L1413" s="18"/>
      <c r="M1413" s="18"/>
      <c r="N1413" s="149"/>
      <c r="O1413" s="19"/>
      <c r="P1413" s="8"/>
      <c r="Q1413" s="8"/>
      <c r="R1413" s="8"/>
      <c r="S1413" s="8"/>
      <c r="T1413" s="8"/>
      <c r="U1413" s="8"/>
      <c r="V1413" s="8"/>
      <c r="W1413" s="8"/>
      <c r="X1413" s="8"/>
      <c r="Y1413" s="8"/>
      <c r="Z1413" s="8"/>
    </row>
    <row r="1414" spans="1:26" s="9" customFormat="1" ht="15.75">
      <c r="A1414" s="37" t="s">
        <v>717</v>
      </c>
      <c r="B1414" s="21">
        <v>8</v>
      </c>
      <c r="C1414" s="21">
        <v>6</v>
      </c>
      <c r="D1414" s="21">
        <v>2</v>
      </c>
      <c r="E1414" s="21">
        <v>3</v>
      </c>
      <c r="F1414" s="21">
        <v>5</v>
      </c>
      <c r="G1414" s="21">
        <f>1+1+3</f>
        <v>5</v>
      </c>
      <c r="H1414" s="21">
        <v>0</v>
      </c>
      <c r="I1414" s="21">
        <f>7+2</f>
        <v>9</v>
      </c>
      <c r="J1414" s="21">
        <v>7</v>
      </c>
      <c r="K1414" s="21">
        <v>1</v>
      </c>
      <c r="L1414" s="21">
        <v>0</v>
      </c>
      <c r="M1414" s="21">
        <v>0</v>
      </c>
      <c r="N1414" s="150">
        <f t="shared" ref="N1414:N1420" si="2137">SUM(B1414:M1414)</f>
        <v>46</v>
      </c>
      <c r="O1414" s="22">
        <f t="shared" ref="O1414:O1420" si="2138">IF(N1414=0,0,AVERAGE(B1414:M1414))</f>
        <v>3.8333333333333335</v>
      </c>
      <c r="P1414" s="8"/>
      <c r="Q1414" s="8"/>
      <c r="R1414" s="8"/>
      <c r="S1414" s="8"/>
      <c r="T1414" s="8"/>
      <c r="U1414" s="8"/>
      <c r="V1414" s="8"/>
      <c r="W1414" s="8"/>
      <c r="X1414" s="8"/>
      <c r="Y1414" s="8"/>
      <c r="Z1414" s="8"/>
    </row>
    <row r="1415" spans="1:26" s="9" customFormat="1" ht="15.75">
      <c r="A1415" s="37" t="s">
        <v>718</v>
      </c>
      <c r="B1415" s="21">
        <v>0</v>
      </c>
      <c r="C1415" s="21">
        <v>0</v>
      </c>
      <c r="D1415" s="21">
        <v>1</v>
      </c>
      <c r="E1415" s="21">
        <v>1</v>
      </c>
      <c r="F1415" s="21">
        <v>1</v>
      </c>
      <c r="G1415" s="21">
        <v>0</v>
      </c>
      <c r="H1415" s="21">
        <v>0</v>
      </c>
      <c r="I1415" s="21">
        <v>0</v>
      </c>
      <c r="J1415" s="21">
        <v>0</v>
      </c>
      <c r="K1415" s="21">
        <v>0</v>
      </c>
      <c r="L1415" s="21">
        <v>0</v>
      </c>
      <c r="M1415" s="21">
        <v>0</v>
      </c>
      <c r="N1415" s="150">
        <f t="shared" si="2137"/>
        <v>3</v>
      </c>
      <c r="O1415" s="22">
        <f t="shared" si="2138"/>
        <v>0.25</v>
      </c>
      <c r="P1415" s="8"/>
      <c r="Q1415" s="8"/>
      <c r="R1415" s="8"/>
      <c r="S1415" s="8"/>
      <c r="T1415" s="8"/>
      <c r="U1415" s="8"/>
      <c r="V1415" s="8"/>
      <c r="W1415" s="8"/>
      <c r="X1415" s="8"/>
      <c r="Y1415" s="8"/>
      <c r="Z1415" s="8"/>
    </row>
    <row r="1416" spans="1:26" s="9" customFormat="1" ht="15.75">
      <c r="A1416" s="37" t="s">
        <v>719</v>
      </c>
      <c r="B1416" s="21">
        <v>0</v>
      </c>
      <c r="C1416" s="21">
        <v>0</v>
      </c>
      <c r="D1416" s="21">
        <v>0</v>
      </c>
      <c r="E1416" s="21">
        <v>0</v>
      </c>
      <c r="F1416" s="21">
        <v>0</v>
      </c>
      <c r="G1416" s="21">
        <v>0</v>
      </c>
      <c r="H1416" s="21">
        <v>0</v>
      </c>
      <c r="I1416" s="21">
        <v>0</v>
      </c>
      <c r="J1416" s="21">
        <v>1</v>
      </c>
      <c r="K1416" s="21">
        <v>0</v>
      </c>
      <c r="L1416" s="21">
        <v>0</v>
      </c>
      <c r="M1416" s="21">
        <v>0</v>
      </c>
      <c r="N1416" s="150">
        <f t="shared" si="2137"/>
        <v>1</v>
      </c>
      <c r="O1416" s="22">
        <f t="shared" si="2138"/>
        <v>8.3333333333333329E-2</v>
      </c>
      <c r="P1416" s="8"/>
      <c r="Q1416" s="8"/>
      <c r="R1416" s="8"/>
      <c r="S1416" s="8"/>
      <c r="T1416" s="8"/>
      <c r="U1416" s="8"/>
      <c r="V1416" s="8"/>
      <c r="W1416" s="8"/>
      <c r="X1416" s="8"/>
      <c r="Y1416" s="8"/>
      <c r="Z1416" s="8"/>
    </row>
    <row r="1417" spans="1:26" s="9" customFormat="1" ht="15.75">
      <c r="A1417" s="37" t="s">
        <v>720</v>
      </c>
      <c r="B1417" s="21">
        <v>0</v>
      </c>
      <c r="C1417" s="21">
        <v>1</v>
      </c>
      <c r="D1417" s="21">
        <v>1</v>
      </c>
      <c r="E1417" s="21">
        <v>0</v>
      </c>
      <c r="F1417" s="21">
        <v>0</v>
      </c>
      <c r="G1417" s="21">
        <v>0</v>
      </c>
      <c r="H1417" s="21">
        <v>0</v>
      </c>
      <c r="I1417" s="21">
        <v>0</v>
      </c>
      <c r="J1417" s="21">
        <v>0</v>
      </c>
      <c r="K1417" s="21">
        <v>0</v>
      </c>
      <c r="L1417" s="21">
        <v>0</v>
      </c>
      <c r="M1417" s="21">
        <v>1</v>
      </c>
      <c r="N1417" s="150">
        <f t="shared" si="2137"/>
        <v>3</v>
      </c>
      <c r="O1417" s="22">
        <f t="shared" si="2138"/>
        <v>0.25</v>
      </c>
      <c r="P1417" s="8"/>
      <c r="Q1417" s="8"/>
      <c r="R1417" s="8"/>
      <c r="S1417" s="8"/>
      <c r="T1417" s="8"/>
      <c r="U1417" s="8"/>
      <c r="V1417" s="8"/>
      <c r="W1417" s="8"/>
      <c r="X1417" s="8"/>
      <c r="Y1417" s="8"/>
      <c r="Z1417" s="8"/>
    </row>
    <row r="1418" spans="1:26" s="9" customFormat="1" ht="15.75">
      <c r="A1418" s="37" t="s">
        <v>721</v>
      </c>
      <c r="B1418" s="21">
        <v>0</v>
      </c>
      <c r="C1418" s="21">
        <v>0</v>
      </c>
      <c r="D1418" s="21">
        <v>2</v>
      </c>
      <c r="E1418" s="21">
        <v>0</v>
      </c>
      <c r="F1418" s="21">
        <v>1</v>
      </c>
      <c r="G1418" s="21">
        <v>0</v>
      </c>
      <c r="H1418" s="21">
        <v>0</v>
      </c>
      <c r="I1418" s="21">
        <v>2</v>
      </c>
      <c r="J1418" s="21">
        <v>1</v>
      </c>
      <c r="K1418" s="21">
        <v>0</v>
      </c>
      <c r="L1418" s="21">
        <v>0</v>
      </c>
      <c r="M1418" s="21">
        <v>0</v>
      </c>
      <c r="N1418" s="150">
        <f t="shared" si="2137"/>
        <v>6</v>
      </c>
      <c r="O1418" s="22">
        <f t="shared" si="2138"/>
        <v>0.5</v>
      </c>
      <c r="P1418" s="8"/>
      <c r="Q1418" s="8"/>
      <c r="R1418" s="8"/>
      <c r="S1418" s="8"/>
      <c r="T1418" s="8"/>
      <c r="U1418" s="8"/>
      <c r="V1418" s="8"/>
      <c r="W1418" s="8"/>
      <c r="X1418" s="8"/>
      <c r="Y1418" s="8"/>
      <c r="Z1418" s="8"/>
    </row>
    <row r="1419" spans="1:26" s="9" customFormat="1" ht="15.75">
      <c r="A1419" s="37" t="s">
        <v>722</v>
      </c>
      <c r="B1419" s="21">
        <v>0</v>
      </c>
      <c r="C1419" s="21">
        <v>1</v>
      </c>
      <c r="D1419" s="21">
        <v>4</v>
      </c>
      <c r="E1419" s="21">
        <v>1</v>
      </c>
      <c r="F1419" s="21">
        <v>0</v>
      </c>
      <c r="G1419" s="21">
        <f>1+1</f>
        <v>2</v>
      </c>
      <c r="H1419" s="21">
        <v>0</v>
      </c>
      <c r="I1419" s="21">
        <v>0</v>
      </c>
      <c r="J1419" s="21">
        <v>0</v>
      </c>
      <c r="K1419" s="21">
        <v>1</v>
      </c>
      <c r="L1419" s="21">
        <v>0</v>
      </c>
      <c r="M1419" s="21">
        <v>0</v>
      </c>
      <c r="N1419" s="150">
        <f t="shared" si="2137"/>
        <v>9</v>
      </c>
      <c r="O1419" s="22">
        <f t="shared" si="2138"/>
        <v>0.75</v>
      </c>
      <c r="P1419" s="8"/>
      <c r="Q1419" s="8"/>
      <c r="R1419" s="8"/>
      <c r="S1419" s="8"/>
      <c r="T1419" s="8"/>
      <c r="U1419" s="8"/>
      <c r="V1419" s="8"/>
      <c r="W1419" s="8"/>
      <c r="X1419" s="8"/>
      <c r="Y1419" s="8"/>
      <c r="Z1419" s="8"/>
    </row>
    <row r="1420" spans="1:26" s="9" customFormat="1" ht="15.75">
      <c r="A1420" s="37" t="s">
        <v>22</v>
      </c>
      <c r="B1420" s="21">
        <v>0</v>
      </c>
      <c r="C1420" s="21">
        <v>0</v>
      </c>
      <c r="D1420" s="21">
        <v>0</v>
      </c>
      <c r="E1420" s="21">
        <v>0</v>
      </c>
      <c r="F1420" s="21">
        <v>0</v>
      </c>
      <c r="G1420" s="21">
        <v>0</v>
      </c>
      <c r="H1420" s="21">
        <v>0</v>
      </c>
      <c r="I1420" s="21">
        <v>0</v>
      </c>
      <c r="J1420" s="21">
        <v>0</v>
      </c>
      <c r="K1420" s="21">
        <v>0</v>
      </c>
      <c r="L1420" s="21">
        <v>0</v>
      </c>
      <c r="M1420" s="21">
        <v>0</v>
      </c>
      <c r="N1420" s="150">
        <f t="shared" si="2137"/>
        <v>0</v>
      </c>
      <c r="O1420" s="22">
        <f t="shared" si="2138"/>
        <v>0</v>
      </c>
      <c r="P1420" s="8"/>
      <c r="Q1420" s="8"/>
      <c r="R1420" s="8"/>
      <c r="S1420" s="8"/>
      <c r="T1420" s="8"/>
      <c r="U1420" s="8"/>
      <c r="V1420" s="8"/>
      <c r="W1420" s="8"/>
      <c r="X1420" s="8"/>
      <c r="Y1420" s="8"/>
      <c r="Z1420" s="8"/>
    </row>
    <row r="1421" spans="1:26" s="9" customFormat="1" ht="15.75">
      <c r="A1421" s="62" t="s">
        <v>21</v>
      </c>
      <c r="B1421" s="24">
        <f t="shared" ref="B1421:G1421" si="2139">SUM(B1414:B1420)</f>
        <v>8</v>
      </c>
      <c r="C1421" s="24">
        <f t="shared" si="2139"/>
        <v>8</v>
      </c>
      <c r="D1421" s="24">
        <f t="shared" si="2139"/>
        <v>10</v>
      </c>
      <c r="E1421" s="24">
        <f t="shared" si="2139"/>
        <v>5</v>
      </c>
      <c r="F1421" s="24">
        <f t="shared" si="2139"/>
        <v>7</v>
      </c>
      <c r="G1421" s="24">
        <f t="shared" si="2139"/>
        <v>7</v>
      </c>
      <c r="H1421" s="24">
        <f t="shared" ref="H1421:I1421" si="2140">SUM(H1414:H1420)</f>
        <v>0</v>
      </c>
      <c r="I1421" s="24">
        <f t="shared" si="2140"/>
        <v>11</v>
      </c>
      <c r="J1421" s="24">
        <f t="shared" ref="J1421:K1421" si="2141">SUM(J1414:J1420)</f>
        <v>9</v>
      </c>
      <c r="K1421" s="24">
        <f t="shared" si="2141"/>
        <v>2</v>
      </c>
      <c r="L1421" s="24">
        <f t="shared" ref="L1421:M1421" si="2142">SUM(L1414:L1420)</f>
        <v>0</v>
      </c>
      <c r="M1421" s="24">
        <f t="shared" si="2142"/>
        <v>1</v>
      </c>
      <c r="N1421" s="144">
        <f>SUM(N1414:N1420)</f>
        <v>68</v>
      </c>
      <c r="O1421" s="25">
        <f>SUM(O1414:O1420)</f>
        <v>5.666666666666667</v>
      </c>
      <c r="P1421" s="8"/>
      <c r="Q1421" s="8"/>
      <c r="R1421" s="8"/>
      <c r="S1421" s="8"/>
      <c r="T1421" s="8"/>
      <c r="U1421" s="8"/>
      <c r="V1421" s="8"/>
      <c r="W1421" s="8"/>
      <c r="X1421" s="8"/>
      <c r="Y1421" s="8"/>
      <c r="Z1421" s="8"/>
    </row>
    <row r="1422" spans="1:26" s="9" customFormat="1" ht="15.75">
      <c r="A1422" s="62" t="s">
        <v>112</v>
      </c>
      <c r="B1422" s="25">
        <f t="shared" ref="B1422:G1422" si="2143">IF(B1421=0,"",B1421/B$1870)</f>
        <v>0.25806451612903225</v>
      </c>
      <c r="C1422" s="25">
        <f t="shared" si="2143"/>
        <v>0.2857142857142857</v>
      </c>
      <c r="D1422" s="25">
        <f t="shared" si="2143"/>
        <v>0.32258064516129031</v>
      </c>
      <c r="E1422" s="25">
        <f t="shared" si="2143"/>
        <v>0.16666666666666666</v>
      </c>
      <c r="F1422" s="25">
        <f t="shared" si="2143"/>
        <v>0.22580645161290322</v>
      </c>
      <c r="G1422" s="25">
        <f t="shared" si="2143"/>
        <v>0.23333333333333334</v>
      </c>
      <c r="H1422" s="25" t="s">
        <v>44</v>
      </c>
      <c r="I1422" s="25">
        <f t="shared" ref="I1422:J1422" si="2144">IF(I1421=0,"",I1421/I$1870)</f>
        <v>0.35483870967741937</v>
      </c>
      <c r="J1422" s="25">
        <f t="shared" si="2144"/>
        <v>0.3</v>
      </c>
      <c r="K1422" s="25">
        <f t="shared" ref="K1422:M1422" si="2145">IF(K1421=0,"",K1421/K$1870)</f>
        <v>6.4516129032258063E-2</v>
      </c>
      <c r="L1422" s="25" t="s">
        <v>44</v>
      </c>
      <c r="M1422" s="25">
        <f t="shared" si="2145"/>
        <v>3.2258064516129031E-2</v>
      </c>
      <c r="N1422" s="144">
        <f>SUM(B1422:M1422)</f>
        <v>2.2437788018433178</v>
      </c>
      <c r="O1422" s="25">
        <f>IF(N1422=0,0,AVERAGE(B1422:M1422))</f>
        <v>0.22437788018433177</v>
      </c>
      <c r="P1422" s="8"/>
      <c r="Q1422" s="8"/>
      <c r="R1422" s="8"/>
      <c r="S1422" s="8"/>
      <c r="T1422" s="8"/>
      <c r="U1422" s="8"/>
      <c r="V1422" s="8"/>
      <c r="W1422" s="8"/>
      <c r="X1422" s="8"/>
      <c r="Y1422" s="8"/>
      <c r="Z1422" s="8"/>
    </row>
    <row r="1423" spans="1:26" s="9" customFormat="1" ht="15.75">
      <c r="A1423" s="67"/>
      <c r="B1423" s="68"/>
      <c r="C1423" s="68"/>
      <c r="D1423" s="68"/>
      <c r="E1423" s="68"/>
      <c r="F1423" s="68"/>
      <c r="G1423" s="68"/>
      <c r="H1423" s="68"/>
      <c r="I1423" s="68"/>
      <c r="J1423" s="68"/>
      <c r="K1423" s="68"/>
      <c r="L1423" s="68"/>
      <c r="M1423" s="68"/>
      <c r="N1423" s="161"/>
      <c r="O1423" s="69"/>
      <c r="P1423" s="8"/>
      <c r="Q1423" s="8"/>
      <c r="R1423" s="8"/>
      <c r="S1423" s="8"/>
      <c r="T1423" s="8"/>
      <c r="U1423" s="8"/>
      <c r="V1423" s="8"/>
      <c r="W1423" s="8"/>
      <c r="X1423" s="8"/>
      <c r="Y1423" s="8"/>
      <c r="Z1423" s="8"/>
    </row>
    <row r="1424" spans="1:26" s="9" customFormat="1" ht="15.75">
      <c r="A1424" s="66" t="s">
        <v>800</v>
      </c>
      <c r="B1424" s="18"/>
      <c r="C1424" s="18"/>
      <c r="D1424" s="18"/>
      <c r="E1424" s="18"/>
      <c r="F1424" s="18"/>
      <c r="G1424" s="18"/>
      <c r="H1424" s="18"/>
      <c r="I1424" s="18"/>
      <c r="J1424" s="18"/>
      <c r="K1424" s="18"/>
      <c r="L1424" s="18"/>
      <c r="M1424" s="18"/>
      <c r="N1424" s="149"/>
      <c r="O1424" s="19"/>
      <c r="P1424" s="8"/>
      <c r="Q1424" s="8"/>
      <c r="R1424" s="8"/>
      <c r="S1424" s="8"/>
      <c r="T1424" s="8"/>
      <c r="U1424" s="8"/>
      <c r="V1424" s="8"/>
      <c r="W1424" s="8"/>
      <c r="X1424" s="8"/>
      <c r="Y1424" s="8"/>
      <c r="Z1424" s="8"/>
    </row>
    <row r="1425" spans="1:26" s="9" customFormat="1" ht="15.75">
      <c r="A1425" s="40" t="s">
        <v>18</v>
      </c>
      <c r="B1425" s="21">
        <v>0</v>
      </c>
      <c r="C1425" s="21">
        <v>0</v>
      </c>
      <c r="D1425" s="21">
        <v>0</v>
      </c>
      <c r="E1425" s="21">
        <v>0</v>
      </c>
      <c r="F1425" s="21">
        <v>1</v>
      </c>
      <c r="G1425" s="21">
        <v>2</v>
      </c>
      <c r="H1425" s="21">
        <v>0</v>
      </c>
      <c r="I1425" s="21">
        <v>0</v>
      </c>
      <c r="J1425" s="21">
        <v>0</v>
      </c>
      <c r="K1425" s="21">
        <v>0</v>
      </c>
      <c r="L1425" s="21">
        <v>0</v>
      </c>
      <c r="M1425" s="21">
        <v>0</v>
      </c>
      <c r="N1425" s="150">
        <f>SUM(B1425:M1425)</f>
        <v>3</v>
      </c>
      <c r="O1425" s="22">
        <f>IF(N1425=0,0,AVERAGE(B1425:M1425))</f>
        <v>0.25</v>
      </c>
      <c r="P1425" s="8"/>
      <c r="Q1425" s="8"/>
      <c r="R1425" s="8"/>
      <c r="S1425" s="8"/>
      <c r="T1425" s="8"/>
      <c r="U1425" s="8"/>
      <c r="V1425" s="8"/>
      <c r="W1425" s="8"/>
      <c r="X1425" s="8"/>
      <c r="Y1425" s="8"/>
      <c r="Z1425" s="8"/>
    </row>
    <row r="1426" spans="1:26" s="9" customFormat="1" ht="15.75">
      <c r="A1426" s="40" t="s">
        <v>19</v>
      </c>
      <c r="B1426" s="21">
        <v>6</v>
      </c>
      <c r="C1426" s="21">
        <v>8</v>
      </c>
      <c r="D1426" s="21">
        <v>9</v>
      </c>
      <c r="E1426" s="21">
        <v>4</v>
      </c>
      <c r="F1426" s="21">
        <v>5</v>
      </c>
      <c r="G1426" s="21">
        <v>2</v>
      </c>
      <c r="H1426" s="21">
        <v>0</v>
      </c>
      <c r="I1426" s="21">
        <v>9</v>
      </c>
      <c r="J1426" s="21">
        <v>8</v>
      </c>
      <c r="K1426" s="21">
        <v>1</v>
      </c>
      <c r="L1426" s="21">
        <v>0</v>
      </c>
      <c r="M1426" s="21">
        <v>1</v>
      </c>
      <c r="N1426" s="150">
        <f>SUM(B1426:M1426)</f>
        <v>53</v>
      </c>
      <c r="O1426" s="22">
        <f>IF(N1426=0,0,AVERAGE(B1426:M1426))</f>
        <v>4.416666666666667</v>
      </c>
      <c r="P1426" s="8"/>
      <c r="Q1426" s="8"/>
      <c r="R1426" s="8"/>
      <c r="S1426" s="8"/>
      <c r="T1426" s="8"/>
      <c r="U1426" s="8"/>
      <c r="V1426" s="8"/>
      <c r="W1426" s="8"/>
      <c r="X1426" s="8"/>
      <c r="Y1426" s="8"/>
      <c r="Z1426" s="8"/>
    </row>
    <row r="1427" spans="1:26" s="9" customFormat="1" ht="15.75">
      <c r="A1427" s="40" t="s">
        <v>20</v>
      </c>
      <c r="B1427" s="21">
        <v>2</v>
      </c>
      <c r="C1427" s="21">
        <v>0</v>
      </c>
      <c r="D1427" s="21">
        <v>1</v>
      </c>
      <c r="E1427" s="21">
        <v>1</v>
      </c>
      <c r="F1427" s="21">
        <v>1</v>
      </c>
      <c r="G1427" s="21">
        <v>3</v>
      </c>
      <c r="H1427" s="21">
        <v>0</v>
      </c>
      <c r="I1427" s="21">
        <v>2</v>
      </c>
      <c r="J1427" s="21">
        <v>1</v>
      </c>
      <c r="K1427" s="21">
        <v>1</v>
      </c>
      <c r="L1427" s="21">
        <v>0</v>
      </c>
      <c r="M1427" s="21">
        <v>0</v>
      </c>
      <c r="N1427" s="150">
        <f>SUM(B1427:M1427)</f>
        <v>12</v>
      </c>
      <c r="O1427" s="22">
        <f>IF(N1427=0,0,AVERAGE(B1427:M1427))</f>
        <v>1</v>
      </c>
      <c r="P1427" s="8"/>
      <c r="Q1427" s="8"/>
      <c r="R1427" s="8"/>
      <c r="S1427" s="8"/>
      <c r="T1427" s="8"/>
      <c r="U1427" s="8"/>
      <c r="V1427" s="8"/>
      <c r="W1427" s="8"/>
      <c r="X1427" s="8"/>
      <c r="Y1427" s="8"/>
      <c r="Z1427" s="8"/>
    </row>
    <row r="1428" spans="1:26" s="9" customFormat="1" ht="15.75">
      <c r="A1428" s="62" t="s">
        <v>21</v>
      </c>
      <c r="B1428" s="24">
        <f t="shared" ref="B1428:C1428" si="2146">SUM(B1425:B1427)</f>
        <v>8</v>
      </c>
      <c r="C1428" s="24">
        <f t="shared" si="2146"/>
        <v>8</v>
      </c>
      <c r="D1428" s="24">
        <f t="shared" ref="D1428:E1428" si="2147">SUM(D1425:D1427)</f>
        <v>10</v>
      </c>
      <c r="E1428" s="24">
        <f t="shared" si="2147"/>
        <v>5</v>
      </c>
      <c r="F1428" s="24">
        <f t="shared" ref="F1428:G1428" si="2148">SUM(F1425:F1427)</f>
        <v>7</v>
      </c>
      <c r="G1428" s="24">
        <f t="shared" si="2148"/>
        <v>7</v>
      </c>
      <c r="H1428" s="24">
        <f t="shared" ref="H1428:I1428" si="2149">SUM(H1425:H1427)</f>
        <v>0</v>
      </c>
      <c r="I1428" s="24">
        <f t="shared" si="2149"/>
        <v>11</v>
      </c>
      <c r="J1428" s="24">
        <f t="shared" ref="J1428:L1428" si="2150">SUM(J1425:J1427)</f>
        <v>9</v>
      </c>
      <c r="K1428" s="24">
        <f t="shared" si="2150"/>
        <v>2</v>
      </c>
      <c r="L1428" s="24">
        <f t="shared" si="2150"/>
        <v>0</v>
      </c>
      <c r="M1428" s="24">
        <f t="shared" ref="M1428" si="2151">SUM(M1425:M1427)</f>
        <v>1</v>
      </c>
      <c r="N1428" s="144">
        <f>SUM(N1425:N1427)</f>
        <v>68</v>
      </c>
      <c r="O1428" s="25">
        <f>SUM(O1425:O1427)</f>
        <v>5.666666666666667</v>
      </c>
      <c r="P1428" s="8"/>
      <c r="Q1428" s="8"/>
      <c r="R1428" s="8"/>
      <c r="S1428" s="8"/>
      <c r="T1428" s="8"/>
      <c r="U1428" s="8"/>
      <c r="V1428" s="8"/>
      <c r="W1428" s="8"/>
      <c r="X1428" s="8"/>
      <c r="Y1428" s="8"/>
      <c r="Z1428" s="8"/>
    </row>
    <row r="1429" spans="1:26" s="9" customFormat="1" ht="15.75">
      <c r="A1429" s="62" t="s">
        <v>112</v>
      </c>
      <c r="B1429" s="25">
        <f t="shared" ref="B1429:G1429" si="2152">IF(B1428=0,"",B1428/B$1870)</f>
        <v>0.25806451612903225</v>
      </c>
      <c r="C1429" s="25">
        <f t="shared" si="2152"/>
        <v>0.2857142857142857</v>
      </c>
      <c r="D1429" s="25">
        <f t="shared" si="2152"/>
        <v>0.32258064516129031</v>
      </c>
      <c r="E1429" s="25">
        <f t="shared" si="2152"/>
        <v>0.16666666666666666</v>
      </c>
      <c r="F1429" s="25">
        <f t="shared" si="2152"/>
        <v>0.22580645161290322</v>
      </c>
      <c r="G1429" s="25">
        <f t="shared" si="2152"/>
        <v>0.23333333333333334</v>
      </c>
      <c r="H1429" s="25" t="s">
        <v>44</v>
      </c>
      <c r="I1429" s="25">
        <f t="shared" ref="I1429" si="2153">IF(I1428=0,"",I1428/I$1870)</f>
        <v>0.35483870967741937</v>
      </c>
      <c r="J1429" s="25">
        <f t="shared" ref="J1429:M1429" si="2154">IF(J1428=0,"",J1428/J$1870)</f>
        <v>0.3</v>
      </c>
      <c r="K1429" s="25">
        <f t="shared" si="2154"/>
        <v>6.4516129032258063E-2</v>
      </c>
      <c r="L1429" s="25" t="s">
        <v>44</v>
      </c>
      <c r="M1429" s="25">
        <f t="shared" si="2154"/>
        <v>3.2258064516129031E-2</v>
      </c>
      <c r="N1429" s="144">
        <f>SUM(B1429:M1429)</f>
        <v>2.2437788018433178</v>
      </c>
      <c r="O1429" s="25">
        <f>IF(N1429=0,0,AVERAGE(B1429:M1429))</f>
        <v>0.22437788018433177</v>
      </c>
      <c r="P1429" s="8"/>
      <c r="Q1429" s="8"/>
      <c r="R1429" s="8"/>
      <c r="S1429" s="8"/>
      <c r="T1429" s="8"/>
      <c r="U1429" s="8"/>
      <c r="V1429" s="8"/>
      <c r="W1429" s="8"/>
      <c r="X1429" s="8"/>
      <c r="Y1429" s="8"/>
      <c r="Z1429" s="8"/>
    </row>
    <row r="1430" spans="1:26" s="9" customFormat="1" ht="15.75">
      <c r="A1430" s="67"/>
      <c r="B1430" s="68"/>
      <c r="C1430" s="68"/>
      <c r="D1430" s="68"/>
      <c r="E1430" s="68"/>
      <c r="F1430" s="68"/>
      <c r="G1430" s="68"/>
      <c r="H1430" s="68"/>
      <c r="I1430" s="68"/>
      <c r="J1430" s="68"/>
      <c r="K1430" s="68"/>
      <c r="L1430" s="68"/>
      <c r="M1430" s="68"/>
      <c r="N1430" s="161"/>
      <c r="O1430" s="69"/>
      <c r="P1430" s="8"/>
      <c r="Q1430" s="8"/>
      <c r="R1430" s="8"/>
      <c r="S1430" s="8"/>
      <c r="T1430" s="8"/>
      <c r="U1430" s="8"/>
      <c r="V1430" s="8"/>
      <c r="W1430" s="8"/>
      <c r="X1430" s="8"/>
      <c r="Y1430" s="8"/>
      <c r="Z1430" s="8"/>
    </row>
    <row r="1431" spans="1:26" s="9" customFormat="1" ht="15.75">
      <c r="A1431" s="66" t="s">
        <v>801</v>
      </c>
      <c r="B1431" s="18"/>
      <c r="C1431" s="18"/>
      <c r="D1431" s="18"/>
      <c r="E1431" s="18"/>
      <c r="F1431" s="18"/>
      <c r="G1431" s="18"/>
      <c r="H1431" s="18"/>
      <c r="I1431" s="18"/>
      <c r="J1431" s="18"/>
      <c r="K1431" s="18"/>
      <c r="L1431" s="18"/>
      <c r="M1431" s="18"/>
      <c r="N1431" s="149"/>
      <c r="O1431" s="19"/>
      <c r="P1431" s="8"/>
      <c r="Q1431" s="8"/>
      <c r="R1431" s="8"/>
      <c r="S1431" s="8"/>
      <c r="T1431" s="8"/>
      <c r="U1431" s="8"/>
      <c r="V1431" s="8"/>
      <c r="W1431" s="8"/>
      <c r="X1431" s="8"/>
      <c r="Y1431" s="8"/>
      <c r="Z1431" s="8"/>
    </row>
    <row r="1432" spans="1:26" s="9" customFormat="1" ht="15.75">
      <c r="A1432" s="37" t="s">
        <v>717</v>
      </c>
      <c r="B1432" s="21">
        <v>33</v>
      </c>
      <c r="C1432" s="21">
        <v>22</v>
      </c>
      <c r="D1432" s="21">
        <v>20</v>
      </c>
      <c r="E1432" s="21">
        <v>11</v>
      </c>
      <c r="F1432" s="21">
        <v>21</v>
      </c>
      <c r="G1432" s="21">
        <v>36</v>
      </c>
      <c r="H1432" s="21">
        <v>10</v>
      </c>
      <c r="I1432" s="21">
        <v>44</v>
      </c>
      <c r="J1432" s="21">
        <v>42</v>
      </c>
      <c r="K1432" s="21">
        <v>0</v>
      </c>
      <c r="L1432" s="21">
        <v>0</v>
      </c>
      <c r="M1432" s="21">
        <v>0</v>
      </c>
      <c r="N1432" s="150">
        <f t="shared" ref="N1432:N1438" si="2155">SUM(B1432:M1432)</f>
        <v>239</v>
      </c>
      <c r="O1432" s="22">
        <f t="shared" ref="O1432:O1438" si="2156">IF(N1432=0,0,AVERAGE(B1432:M1432))</f>
        <v>19.916666666666668</v>
      </c>
      <c r="P1432" s="8"/>
      <c r="Q1432" s="8"/>
      <c r="R1432" s="8"/>
      <c r="S1432" s="8"/>
      <c r="T1432" s="8"/>
      <c r="U1432" s="8"/>
      <c r="V1432" s="8"/>
      <c r="W1432" s="8"/>
      <c r="X1432" s="8"/>
      <c r="Y1432" s="8"/>
      <c r="Z1432" s="8"/>
    </row>
    <row r="1433" spans="1:26" s="9" customFormat="1" ht="15.75">
      <c r="A1433" s="37" t="s">
        <v>718</v>
      </c>
      <c r="B1433" s="21">
        <v>0</v>
      </c>
      <c r="C1433" s="21">
        <v>0</v>
      </c>
      <c r="D1433" s="21">
        <v>0</v>
      </c>
      <c r="E1433" s="21">
        <v>0</v>
      </c>
      <c r="F1433" s="21">
        <v>0</v>
      </c>
      <c r="G1433" s="21">
        <v>0</v>
      </c>
      <c r="H1433" s="21">
        <v>0</v>
      </c>
      <c r="I1433" s="21">
        <v>0</v>
      </c>
      <c r="J1433" s="21">
        <v>0</v>
      </c>
      <c r="K1433" s="21">
        <v>0</v>
      </c>
      <c r="L1433" s="21">
        <v>0</v>
      </c>
      <c r="M1433" s="21">
        <v>0</v>
      </c>
      <c r="N1433" s="150">
        <f t="shared" si="2155"/>
        <v>0</v>
      </c>
      <c r="O1433" s="22">
        <f t="shared" si="2156"/>
        <v>0</v>
      </c>
      <c r="P1433" s="8"/>
      <c r="Q1433" s="8"/>
      <c r="R1433" s="8"/>
      <c r="S1433" s="8"/>
      <c r="T1433" s="8"/>
      <c r="U1433" s="8"/>
      <c r="V1433" s="8"/>
      <c r="W1433" s="8"/>
      <c r="X1433" s="8"/>
      <c r="Y1433" s="8"/>
      <c r="Z1433" s="8"/>
    </row>
    <row r="1434" spans="1:26" s="9" customFormat="1" ht="15.75">
      <c r="A1434" s="37" t="s">
        <v>719</v>
      </c>
      <c r="B1434" s="21">
        <v>0</v>
      </c>
      <c r="C1434" s="21">
        <v>0</v>
      </c>
      <c r="D1434" s="21">
        <v>0</v>
      </c>
      <c r="E1434" s="21">
        <v>0</v>
      </c>
      <c r="F1434" s="21">
        <v>0</v>
      </c>
      <c r="G1434" s="21">
        <v>0</v>
      </c>
      <c r="H1434" s="21">
        <v>0</v>
      </c>
      <c r="I1434" s="21">
        <v>0</v>
      </c>
      <c r="J1434" s="21">
        <v>0</v>
      </c>
      <c r="K1434" s="21">
        <v>0</v>
      </c>
      <c r="L1434" s="21">
        <v>0</v>
      </c>
      <c r="M1434" s="21">
        <v>0</v>
      </c>
      <c r="N1434" s="150">
        <f t="shared" si="2155"/>
        <v>0</v>
      </c>
      <c r="O1434" s="22">
        <f t="shared" si="2156"/>
        <v>0</v>
      </c>
      <c r="P1434" s="8"/>
      <c r="Q1434" s="8"/>
      <c r="R1434" s="8"/>
      <c r="S1434" s="8"/>
      <c r="T1434" s="8"/>
      <c r="U1434" s="8"/>
      <c r="V1434" s="8"/>
      <c r="W1434" s="8"/>
      <c r="X1434" s="8"/>
      <c r="Y1434" s="8"/>
      <c r="Z1434" s="8"/>
    </row>
    <row r="1435" spans="1:26" s="9" customFormat="1" ht="15.75">
      <c r="A1435" s="37" t="s">
        <v>720</v>
      </c>
      <c r="B1435" s="21">
        <v>0</v>
      </c>
      <c r="C1435" s="21">
        <v>0</v>
      </c>
      <c r="D1435" s="21">
        <v>0</v>
      </c>
      <c r="E1435" s="21">
        <v>0</v>
      </c>
      <c r="F1435" s="21">
        <v>0</v>
      </c>
      <c r="G1435" s="21">
        <v>0</v>
      </c>
      <c r="H1435" s="21">
        <v>0</v>
      </c>
      <c r="I1435" s="21">
        <v>0</v>
      </c>
      <c r="J1435" s="21">
        <v>0</v>
      </c>
      <c r="K1435" s="21">
        <v>0</v>
      </c>
      <c r="L1435" s="21">
        <v>0</v>
      </c>
      <c r="M1435" s="21">
        <v>0</v>
      </c>
      <c r="N1435" s="150">
        <f t="shared" si="2155"/>
        <v>0</v>
      </c>
      <c r="O1435" s="22">
        <f t="shared" si="2156"/>
        <v>0</v>
      </c>
      <c r="P1435" s="8"/>
      <c r="Q1435" s="8"/>
      <c r="R1435" s="8"/>
      <c r="S1435" s="8"/>
      <c r="T1435" s="8"/>
      <c r="U1435" s="8"/>
      <c r="V1435" s="8"/>
      <c r="W1435" s="8"/>
      <c r="X1435" s="8"/>
      <c r="Y1435" s="8"/>
      <c r="Z1435" s="8"/>
    </row>
    <row r="1436" spans="1:26" s="9" customFormat="1" ht="15.75">
      <c r="A1436" s="37" t="s">
        <v>721</v>
      </c>
      <c r="B1436" s="21">
        <v>0</v>
      </c>
      <c r="C1436" s="21">
        <v>0</v>
      </c>
      <c r="D1436" s="21">
        <v>0</v>
      </c>
      <c r="E1436" s="21">
        <v>0</v>
      </c>
      <c r="F1436" s="21">
        <v>0</v>
      </c>
      <c r="G1436" s="21">
        <v>0</v>
      </c>
      <c r="H1436" s="21">
        <v>0</v>
      </c>
      <c r="I1436" s="21">
        <v>0</v>
      </c>
      <c r="J1436" s="21">
        <v>0</v>
      </c>
      <c r="K1436" s="21">
        <v>0</v>
      </c>
      <c r="L1436" s="21">
        <v>0</v>
      </c>
      <c r="M1436" s="21">
        <v>0</v>
      </c>
      <c r="N1436" s="150">
        <f t="shared" si="2155"/>
        <v>0</v>
      </c>
      <c r="O1436" s="22">
        <f t="shared" si="2156"/>
        <v>0</v>
      </c>
      <c r="P1436" s="8"/>
      <c r="Q1436" s="8"/>
      <c r="R1436" s="8"/>
      <c r="S1436" s="8"/>
      <c r="T1436" s="8"/>
      <c r="U1436" s="8"/>
      <c r="V1436" s="8"/>
      <c r="W1436" s="8"/>
      <c r="X1436" s="8"/>
      <c r="Y1436" s="8"/>
      <c r="Z1436" s="8"/>
    </row>
    <row r="1437" spans="1:26" s="9" customFormat="1" ht="15.75">
      <c r="A1437" s="37" t="s">
        <v>722</v>
      </c>
      <c r="B1437" s="21">
        <v>0</v>
      </c>
      <c r="C1437" s="21">
        <v>0</v>
      </c>
      <c r="D1437" s="21">
        <v>0</v>
      </c>
      <c r="E1437" s="21">
        <v>0</v>
      </c>
      <c r="F1437" s="21">
        <v>0</v>
      </c>
      <c r="G1437" s="21">
        <v>0</v>
      </c>
      <c r="H1437" s="21">
        <v>0</v>
      </c>
      <c r="I1437" s="21">
        <v>0</v>
      </c>
      <c r="J1437" s="21">
        <v>0</v>
      </c>
      <c r="K1437" s="21">
        <v>0</v>
      </c>
      <c r="L1437" s="21">
        <v>0</v>
      </c>
      <c r="M1437" s="21">
        <v>0</v>
      </c>
      <c r="N1437" s="150">
        <f t="shared" si="2155"/>
        <v>0</v>
      </c>
      <c r="O1437" s="22">
        <f t="shared" si="2156"/>
        <v>0</v>
      </c>
      <c r="P1437" s="8"/>
      <c r="Q1437" s="8"/>
      <c r="R1437" s="8"/>
      <c r="S1437" s="8"/>
      <c r="T1437" s="8"/>
      <c r="U1437" s="8"/>
      <c r="V1437" s="8"/>
      <c r="W1437" s="8"/>
      <c r="X1437" s="8"/>
      <c r="Y1437" s="8"/>
      <c r="Z1437" s="8"/>
    </row>
    <row r="1438" spans="1:26" s="9" customFormat="1" ht="15.75">
      <c r="A1438" s="37" t="s">
        <v>22</v>
      </c>
      <c r="B1438" s="21">
        <v>0</v>
      </c>
      <c r="C1438" s="21">
        <v>0</v>
      </c>
      <c r="D1438" s="21">
        <v>0</v>
      </c>
      <c r="E1438" s="21">
        <v>0</v>
      </c>
      <c r="F1438" s="21">
        <v>0</v>
      </c>
      <c r="G1438" s="21">
        <v>0</v>
      </c>
      <c r="H1438" s="21">
        <v>0</v>
      </c>
      <c r="I1438" s="21">
        <v>0</v>
      </c>
      <c r="J1438" s="21">
        <v>0</v>
      </c>
      <c r="K1438" s="21">
        <v>0</v>
      </c>
      <c r="L1438" s="21">
        <v>0</v>
      </c>
      <c r="M1438" s="21">
        <v>0</v>
      </c>
      <c r="N1438" s="150">
        <f t="shared" si="2155"/>
        <v>0</v>
      </c>
      <c r="O1438" s="22">
        <f t="shared" si="2156"/>
        <v>0</v>
      </c>
      <c r="P1438" s="8"/>
      <c r="Q1438" s="8"/>
      <c r="R1438" s="8"/>
      <c r="S1438" s="8"/>
      <c r="T1438" s="8"/>
      <c r="U1438" s="8"/>
      <c r="V1438" s="8"/>
      <c r="W1438" s="8"/>
      <c r="X1438" s="8"/>
      <c r="Y1438" s="8"/>
      <c r="Z1438" s="8"/>
    </row>
    <row r="1439" spans="1:26" s="9" customFormat="1" ht="15.75">
      <c r="A1439" s="62" t="s">
        <v>21</v>
      </c>
      <c r="B1439" s="24">
        <f t="shared" ref="B1439:G1439" si="2157">SUM(B1432:B1438)</f>
        <v>33</v>
      </c>
      <c r="C1439" s="24">
        <f t="shared" si="2157"/>
        <v>22</v>
      </c>
      <c r="D1439" s="24">
        <f t="shared" si="2157"/>
        <v>20</v>
      </c>
      <c r="E1439" s="24">
        <f t="shared" si="2157"/>
        <v>11</v>
      </c>
      <c r="F1439" s="24">
        <f t="shared" si="2157"/>
        <v>21</v>
      </c>
      <c r="G1439" s="24">
        <f t="shared" si="2157"/>
        <v>36</v>
      </c>
      <c r="H1439" s="24">
        <f t="shared" ref="H1439:I1439" si="2158">SUM(H1432:H1438)</f>
        <v>10</v>
      </c>
      <c r="I1439" s="24">
        <f t="shared" si="2158"/>
        <v>44</v>
      </c>
      <c r="J1439" s="24">
        <f t="shared" ref="J1439:K1439" si="2159">SUM(J1432:J1438)</f>
        <v>42</v>
      </c>
      <c r="K1439" s="24">
        <f t="shared" si="2159"/>
        <v>0</v>
      </c>
      <c r="L1439" s="24">
        <f t="shared" ref="L1439:M1439" si="2160">SUM(L1432:L1438)</f>
        <v>0</v>
      </c>
      <c r="M1439" s="24">
        <f t="shared" si="2160"/>
        <v>0</v>
      </c>
      <c r="N1439" s="144">
        <f>SUM(N1432:N1438)</f>
        <v>239</v>
      </c>
      <c r="O1439" s="25">
        <f>SUM(O1432:O1438)</f>
        <v>19.916666666666668</v>
      </c>
      <c r="P1439" s="8"/>
      <c r="Q1439" s="8"/>
      <c r="R1439" s="8"/>
      <c r="S1439" s="8"/>
      <c r="T1439" s="8"/>
      <c r="U1439" s="8"/>
      <c r="V1439" s="8"/>
      <c r="W1439" s="8"/>
      <c r="X1439" s="8"/>
      <c r="Y1439" s="8"/>
      <c r="Z1439" s="8"/>
    </row>
    <row r="1440" spans="1:26" s="9" customFormat="1" ht="15.75">
      <c r="A1440" s="62" t="s">
        <v>112</v>
      </c>
      <c r="B1440" s="25">
        <f t="shared" ref="B1440:G1440" si="2161">IF(B1439=0,"",B1439/B$1870)</f>
        <v>1.064516129032258</v>
      </c>
      <c r="C1440" s="25">
        <f t="shared" si="2161"/>
        <v>0.7857142857142857</v>
      </c>
      <c r="D1440" s="25">
        <f t="shared" si="2161"/>
        <v>0.64516129032258063</v>
      </c>
      <c r="E1440" s="25">
        <f t="shared" si="2161"/>
        <v>0.36666666666666664</v>
      </c>
      <c r="F1440" s="25">
        <f t="shared" si="2161"/>
        <v>0.67741935483870963</v>
      </c>
      <c r="G1440" s="25">
        <f t="shared" si="2161"/>
        <v>1.2</v>
      </c>
      <c r="H1440" s="25">
        <f t="shared" ref="H1440:I1440" si="2162">IF(H1439=0,"",H1439/H$1870)</f>
        <v>0.32258064516129031</v>
      </c>
      <c r="I1440" s="25">
        <f t="shared" si="2162"/>
        <v>1.4193548387096775</v>
      </c>
      <c r="J1440" s="25">
        <f t="shared" ref="J1440" si="2163">IF(J1439=0,"",J1439/J$1870)</f>
        <v>1.4</v>
      </c>
      <c r="K1440" s="25" t="s">
        <v>44</v>
      </c>
      <c r="L1440" s="25" t="s">
        <v>44</v>
      </c>
      <c r="M1440" s="25" t="s">
        <v>44</v>
      </c>
      <c r="N1440" s="144">
        <f>SUM(B1440:M1440)</f>
        <v>7.8814132104454675</v>
      </c>
      <c r="O1440" s="25">
        <f>IF(N1440=0,0,AVERAGE(B1440:M1440))</f>
        <v>0.87571257893838528</v>
      </c>
      <c r="P1440" s="8"/>
      <c r="Q1440" s="8"/>
      <c r="R1440" s="8"/>
      <c r="S1440" s="8"/>
      <c r="T1440" s="8"/>
      <c r="U1440" s="8"/>
      <c r="V1440" s="8"/>
      <c r="W1440" s="8"/>
      <c r="X1440" s="8"/>
      <c r="Y1440" s="8"/>
      <c r="Z1440" s="8"/>
    </row>
    <row r="1441" spans="1:26" s="9" customFormat="1">
      <c r="A1441" s="67"/>
      <c r="B1441" s="68"/>
      <c r="C1441" s="68"/>
      <c r="D1441" s="68"/>
      <c r="E1441" s="68"/>
      <c r="F1441" s="68"/>
      <c r="G1441" s="68"/>
      <c r="H1441" s="68"/>
      <c r="I1441" s="68"/>
      <c r="J1441" s="68"/>
      <c r="K1441" s="68"/>
      <c r="L1441" s="68"/>
      <c r="M1441" s="68"/>
      <c r="N1441" s="161"/>
      <c r="O1441" s="278"/>
      <c r="P1441" s="8"/>
      <c r="Q1441" s="8"/>
      <c r="R1441" s="8"/>
      <c r="S1441" s="8"/>
      <c r="T1441" s="8"/>
      <c r="U1441" s="8"/>
      <c r="V1441" s="8"/>
      <c r="W1441" s="8"/>
      <c r="X1441" s="8"/>
      <c r="Y1441" s="8"/>
      <c r="Z1441" s="8"/>
    </row>
    <row r="1442" spans="1:26" s="9" customFormat="1" ht="15.75">
      <c r="A1442" s="91" t="s">
        <v>153</v>
      </c>
      <c r="B1442" s="92">
        <f t="shared" ref="B1442:G1442" si="2164">B1428</f>
        <v>8</v>
      </c>
      <c r="C1442" s="92">
        <f t="shared" si="2164"/>
        <v>8</v>
      </c>
      <c r="D1442" s="92">
        <f t="shared" si="2164"/>
        <v>10</v>
      </c>
      <c r="E1442" s="92">
        <f t="shared" si="2164"/>
        <v>5</v>
      </c>
      <c r="F1442" s="92">
        <f t="shared" si="2164"/>
        <v>7</v>
      </c>
      <c r="G1442" s="92">
        <f t="shared" si="2164"/>
        <v>7</v>
      </c>
      <c r="H1442" s="92">
        <f t="shared" ref="H1442:I1442" si="2165">H1428</f>
        <v>0</v>
      </c>
      <c r="I1442" s="92">
        <f t="shared" si="2165"/>
        <v>11</v>
      </c>
      <c r="J1442" s="92">
        <f t="shared" ref="J1442:K1442" si="2166">J1428</f>
        <v>9</v>
      </c>
      <c r="K1442" s="92">
        <f t="shared" si="2166"/>
        <v>2</v>
      </c>
      <c r="L1442" s="92">
        <f t="shared" ref="L1442:M1442" si="2167">L1428</f>
        <v>0</v>
      </c>
      <c r="M1442" s="92">
        <f t="shared" si="2167"/>
        <v>1</v>
      </c>
      <c r="N1442" s="150">
        <f>N1428</f>
        <v>68</v>
      </c>
      <c r="O1442" s="22">
        <f>O1428</f>
        <v>5.666666666666667</v>
      </c>
      <c r="P1442" s="8"/>
      <c r="Q1442" s="8"/>
      <c r="R1442" s="8"/>
      <c r="S1442" s="8"/>
      <c r="T1442" s="8"/>
      <c r="U1442" s="8"/>
      <c r="V1442" s="8"/>
      <c r="W1442" s="8"/>
      <c r="X1442" s="8"/>
      <c r="Y1442" s="8"/>
      <c r="Z1442" s="8"/>
    </row>
    <row r="1443" spans="1:26" s="9" customFormat="1" ht="15.75">
      <c r="A1443" s="91" t="s">
        <v>154</v>
      </c>
      <c r="B1443" s="92">
        <f t="shared" ref="B1443:C1443" si="2168">B1439</f>
        <v>33</v>
      </c>
      <c r="C1443" s="92">
        <f t="shared" si="2168"/>
        <v>22</v>
      </c>
      <c r="D1443" s="92">
        <f t="shared" ref="D1443:E1443" si="2169">D1439</f>
        <v>20</v>
      </c>
      <c r="E1443" s="92">
        <f t="shared" si="2169"/>
        <v>11</v>
      </c>
      <c r="F1443" s="92">
        <f t="shared" ref="F1443:G1443" si="2170">F1439</f>
        <v>21</v>
      </c>
      <c r="G1443" s="92">
        <f t="shared" si="2170"/>
        <v>36</v>
      </c>
      <c r="H1443" s="92">
        <f t="shared" ref="H1443:I1443" si="2171">H1439</f>
        <v>10</v>
      </c>
      <c r="I1443" s="92">
        <f t="shared" si="2171"/>
        <v>44</v>
      </c>
      <c r="J1443" s="92">
        <f t="shared" ref="J1443:K1443" si="2172">J1439</f>
        <v>42</v>
      </c>
      <c r="K1443" s="92">
        <f t="shared" si="2172"/>
        <v>0</v>
      </c>
      <c r="L1443" s="92">
        <f t="shared" ref="L1443:M1443" si="2173">L1439</f>
        <v>0</v>
      </c>
      <c r="M1443" s="92">
        <f t="shared" si="2173"/>
        <v>0</v>
      </c>
      <c r="N1443" s="150">
        <f>N1439</f>
        <v>239</v>
      </c>
      <c r="O1443" s="22">
        <f>O1439</f>
        <v>19.916666666666668</v>
      </c>
      <c r="P1443" s="8"/>
      <c r="Q1443" s="8"/>
      <c r="R1443" s="8"/>
      <c r="S1443" s="8"/>
      <c r="T1443" s="8"/>
      <c r="U1443" s="8"/>
      <c r="V1443" s="8"/>
      <c r="W1443" s="8"/>
      <c r="X1443" s="8"/>
      <c r="Y1443" s="8"/>
      <c r="Z1443" s="8"/>
    </row>
    <row r="1444" spans="1:26" s="9" customFormat="1" ht="15.75">
      <c r="A1444" s="381" t="s">
        <v>155</v>
      </c>
      <c r="B1444" s="372">
        <f t="shared" ref="B1444:C1444" si="2174">SUM(B1442:B1443)</f>
        <v>41</v>
      </c>
      <c r="C1444" s="372">
        <f t="shared" si="2174"/>
        <v>30</v>
      </c>
      <c r="D1444" s="372">
        <f t="shared" ref="D1444:E1444" si="2175">SUM(D1442:D1443)</f>
        <v>30</v>
      </c>
      <c r="E1444" s="372">
        <f t="shared" si="2175"/>
        <v>16</v>
      </c>
      <c r="F1444" s="372">
        <f t="shared" ref="F1444:G1444" si="2176">SUM(F1442:F1443)</f>
        <v>28</v>
      </c>
      <c r="G1444" s="372">
        <f t="shared" si="2176"/>
        <v>43</v>
      </c>
      <c r="H1444" s="372">
        <f t="shared" ref="H1444:I1444" si="2177">SUM(H1442:H1443)</f>
        <v>10</v>
      </c>
      <c r="I1444" s="372">
        <f t="shared" si="2177"/>
        <v>55</v>
      </c>
      <c r="J1444" s="372">
        <f t="shared" ref="J1444:K1444" si="2178">SUM(J1442:J1443)</f>
        <v>51</v>
      </c>
      <c r="K1444" s="372">
        <f t="shared" si="2178"/>
        <v>2</v>
      </c>
      <c r="L1444" s="372">
        <f t="shared" ref="L1444:M1444" si="2179">SUM(L1442:L1443)</f>
        <v>0</v>
      </c>
      <c r="M1444" s="372">
        <f t="shared" si="2179"/>
        <v>1</v>
      </c>
      <c r="N1444" s="373">
        <f>SUM(N1442:N1443)</f>
        <v>307</v>
      </c>
      <c r="O1444" s="374">
        <f>SUM(O1442:O1443)</f>
        <v>25.583333333333336</v>
      </c>
      <c r="P1444" s="8"/>
      <c r="Q1444" s="8"/>
      <c r="R1444" s="8"/>
      <c r="S1444" s="8"/>
      <c r="T1444" s="8"/>
      <c r="U1444" s="8"/>
      <c r="V1444" s="8"/>
      <c r="W1444" s="8"/>
      <c r="X1444" s="8"/>
      <c r="Y1444" s="8"/>
      <c r="Z1444" s="8"/>
    </row>
    <row r="1445" spans="1:26" s="9" customFormat="1" ht="15.75">
      <c r="A1445" s="137"/>
      <c r="B1445" s="138"/>
      <c r="C1445" s="138"/>
      <c r="D1445" s="138"/>
      <c r="E1445" s="138"/>
      <c r="F1445" s="138"/>
      <c r="G1445" s="138"/>
      <c r="H1445" s="138"/>
      <c r="I1445" s="138"/>
      <c r="J1445" s="138"/>
      <c r="K1445" s="138"/>
      <c r="L1445" s="138"/>
      <c r="M1445" s="138"/>
      <c r="N1445" s="177"/>
      <c r="O1445" s="139"/>
      <c r="P1445" s="8"/>
      <c r="Q1445" s="8"/>
      <c r="R1445" s="8"/>
      <c r="S1445" s="8"/>
      <c r="T1445" s="8"/>
      <c r="U1445" s="8"/>
      <c r="V1445" s="8"/>
      <c r="W1445" s="8"/>
      <c r="X1445" s="8"/>
      <c r="Y1445" s="8"/>
      <c r="Z1445" s="8"/>
    </row>
    <row r="1446" spans="1:26" s="9" customFormat="1" ht="15.75">
      <c r="A1446" s="404" t="s">
        <v>802</v>
      </c>
      <c r="B1446" s="392"/>
      <c r="C1446" s="392"/>
      <c r="D1446" s="392"/>
      <c r="E1446" s="392"/>
      <c r="F1446" s="392"/>
      <c r="G1446" s="392"/>
      <c r="H1446" s="392"/>
      <c r="I1446" s="392"/>
      <c r="J1446" s="392"/>
      <c r="K1446" s="392"/>
      <c r="L1446" s="392"/>
      <c r="M1446" s="392"/>
      <c r="N1446" s="393"/>
      <c r="O1446" s="394"/>
      <c r="P1446" s="8"/>
      <c r="Q1446" s="8"/>
      <c r="R1446" s="8"/>
      <c r="S1446" s="8"/>
      <c r="T1446" s="8"/>
      <c r="U1446" s="8"/>
      <c r="V1446" s="8"/>
      <c r="W1446" s="8"/>
      <c r="X1446" s="8"/>
      <c r="Y1446" s="8"/>
      <c r="Z1446" s="8"/>
    </row>
    <row r="1447" spans="1:26" s="9" customFormat="1" ht="15.75">
      <c r="A1447" s="395" t="s">
        <v>713</v>
      </c>
      <c r="B1447" s="409"/>
      <c r="C1447" s="409"/>
      <c r="D1447" s="409"/>
      <c r="E1447" s="409"/>
      <c r="F1447" s="409"/>
      <c r="G1447" s="409"/>
      <c r="H1447" s="409"/>
      <c r="I1447" s="409"/>
      <c r="J1447" s="409"/>
      <c r="K1447" s="409"/>
      <c r="L1447" s="409"/>
      <c r="M1447" s="409"/>
      <c r="N1447" s="410"/>
      <c r="O1447" s="411"/>
      <c r="P1447" s="8"/>
      <c r="Q1447" s="8"/>
      <c r="R1447" s="8"/>
      <c r="S1447" s="8"/>
      <c r="T1447" s="8"/>
      <c r="U1447" s="8"/>
      <c r="V1447" s="8"/>
      <c r="W1447" s="8"/>
      <c r="X1447" s="8"/>
      <c r="Y1447" s="8"/>
      <c r="Z1447" s="8"/>
    </row>
    <row r="1448" spans="1:26" s="9" customFormat="1" ht="15.75">
      <c r="A1448" s="375" t="s">
        <v>706</v>
      </c>
      <c r="B1448" s="21">
        <v>310</v>
      </c>
      <c r="C1448" s="21">
        <v>292</v>
      </c>
      <c r="D1448" s="21">
        <v>263</v>
      </c>
      <c r="E1448" s="21">
        <v>276</v>
      </c>
      <c r="F1448" s="21">
        <v>252</v>
      </c>
      <c r="G1448" s="21">
        <v>243</v>
      </c>
      <c r="H1448" s="21">
        <v>231</v>
      </c>
      <c r="I1448" s="21">
        <v>266</v>
      </c>
      <c r="J1448" s="87">
        <v>315</v>
      </c>
      <c r="K1448" s="87">
        <v>345</v>
      </c>
      <c r="L1448" s="21">
        <v>305</v>
      </c>
      <c r="M1448" s="21">
        <v>285</v>
      </c>
      <c r="N1448" s="150">
        <f>SUM(B1448:M1448)</f>
        <v>3383</v>
      </c>
      <c r="O1448" s="22">
        <f>IF(N1448=0,0,AVERAGE(B1448:M1448))</f>
        <v>281.91666666666669</v>
      </c>
      <c r="P1448" s="8"/>
      <c r="Q1448" s="8"/>
      <c r="R1448" s="8"/>
      <c r="S1448" s="8"/>
      <c r="T1448" s="8"/>
      <c r="U1448" s="8"/>
      <c r="V1448" s="8"/>
      <c r="W1448" s="8"/>
      <c r="X1448" s="8"/>
      <c r="Y1448" s="8"/>
      <c r="Z1448" s="8"/>
    </row>
    <row r="1449" spans="1:26" s="9" customFormat="1" ht="15.75">
      <c r="A1449" s="375" t="s">
        <v>707</v>
      </c>
      <c r="B1449" s="21">
        <v>491</v>
      </c>
      <c r="C1449" s="21">
        <v>436</v>
      </c>
      <c r="D1449" s="21">
        <v>426</v>
      </c>
      <c r="E1449" s="21">
        <v>486</v>
      </c>
      <c r="F1449" s="21">
        <v>462</v>
      </c>
      <c r="G1449" s="21">
        <v>451</v>
      </c>
      <c r="H1449" s="21">
        <v>434</v>
      </c>
      <c r="I1449" s="21">
        <v>472</v>
      </c>
      <c r="J1449" s="87">
        <v>499</v>
      </c>
      <c r="K1449" s="87">
        <v>399</v>
      </c>
      <c r="L1449" s="21">
        <v>364</v>
      </c>
      <c r="M1449" s="21">
        <v>344</v>
      </c>
      <c r="N1449" s="150">
        <f t="shared" ref="N1449:N1451" si="2180">SUM(B1449:M1449)</f>
        <v>5264</v>
      </c>
      <c r="O1449" s="22">
        <f t="shared" ref="O1449:O1451" si="2181">IF(N1449=0,0,AVERAGE(B1449:M1449))</f>
        <v>438.66666666666669</v>
      </c>
      <c r="P1449" s="8"/>
      <c r="Q1449" s="8"/>
      <c r="R1449" s="8"/>
      <c r="S1449" s="8"/>
      <c r="T1449" s="8"/>
      <c r="U1449" s="8"/>
      <c r="V1449" s="8"/>
      <c r="W1449" s="8"/>
      <c r="X1449" s="8"/>
      <c r="Y1449" s="8"/>
      <c r="Z1449" s="8"/>
    </row>
    <row r="1450" spans="1:26" s="9" customFormat="1" ht="15.75">
      <c r="A1450" s="375" t="s">
        <v>708</v>
      </c>
      <c r="B1450" s="21">
        <v>544</v>
      </c>
      <c r="C1450" s="21">
        <v>739</v>
      </c>
      <c r="D1450" s="21">
        <v>721</v>
      </c>
      <c r="E1450" s="21">
        <v>744</v>
      </c>
      <c r="F1450" s="21">
        <v>720</v>
      </c>
      <c r="G1450" s="21">
        <v>677</v>
      </c>
      <c r="H1450" s="21">
        <v>598</v>
      </c>
      <c r="I1450" s="21">
        <v>610</v>
      </c>
      <c r="J1450" s="87">
        <v>698</v>
      </c>
      <c r="K1450" s="87">
        <v>682</v>
      </c>
      <c r="L1450" s="21">
        <v>641</v>
      </c>
      <c r="M1450" s="21">
        <v>611</v>
      </c>
      <c r="N1450" s="150">
        <f t="shared" si="2180"/>
        <v>7985</v>
      </c>
      <c r="O1450" s="22">
        <f t="shared" si="2181"/>
        <v>665.41666666666663</v>
      </c>
      <c r="P1450" s="8"/>
      <c r="Q1450" s="8"/>
      <c r="R1450" s="8"/>
      <c r="S1450" s="8"/>
      <c r="T1450" s="8"/>
      <c r="U1450" s="8"/>
      <c r="V1450" s="8"/>
      <c r="W1450" s="8"/>
      <c r="X1450" s="8"/>
      <c r="Y1450" s="8"/>
      <c r="Z1450" s="8"/>
    </row>
    <row r="1451" spans="1:26" s="9" customFormat="1" ht="15.75">
      <c r="A1451" s="376" t="s">
        <v>22</v>
      </c>
      <c r="B1451" s="21">
        <v>66</v>
      </c>
      <c r="C1451" s="21">
        <v>36</v>
      </c>
      <c r="D1451" s="21">
        <v>41</v>
      </c>
      <c r="E1451" s="21">
        <v>49</v>
      </c>
      <c r="F1451" s="21">
        <v>41</v>
      </c>
      <c r="G1451" s="21">
        <v>44</v>
      </c>
      <c r="H1451" s="21">
        <v>89</v>
      </c>
      <c r="I1451" s="21">
        <v>101</v>
      </c>
      <c r="J1451" s="87">
        <v>121</v>
      </c>
      <c r="K1451" s="87">
        <v>144</v>
      </c>
      <c r="L1451" s="21">
        <v>121</v>
      </c>
      <c r="M1451" s="21">
        <v>149</v>
      </c>
      <c r="N1451" s="150">
        <f t="shared" si="2180"/>
        <v>1002</v>
      </c>
      <c r="O1451" s="22">
        <f t="shared" si="2181"/>
        <v>83.5</v>
      </c>
      <c r="P1451" s="8"/>
      <c r="Q1451" s="8"/>
      <c r="R1451" s="8"/>
      <c r="S1451" s="8"/>
      <c r="T1451" s="8"/>
      <c r="U1451" s="8"/>
      <c r="V1451" s="8"/>
      <c r="W1451" s="8"/>
      <c r="X1451" s="8"/>
      <c r="Y1451" s="8"/>
      <c r="Z1451" s="8"/>
    </row>
    <row r="1452" spans="1:26" s="9" customFormat="1" ht="15.75">
      <c r="A1452" s="62" t="s">
        <v>21</v>
      </c>
      <c r="B1452" s="24">
        <f t="shared" ref="B1452:G1452" si="2182">SUM(B1448:B1451)</f>
        <v>1411</v>
      </c>
      <c r="C1452" s="24">
        <f t="shared" si="2182"/>
        <v>1503</v>
      </c>
      <c r="D1452" s="24">
        <f t="shared" si="2182"/>
        <v>1451</v>
      </c>
      <c r="E1452" s="24">
        <f t="shared" si="2182"/>
        <v>1555</v>
      </c>
      <c r="F1452" s="24">
        <f t="shared" si="2182"/>
        <v>1475</v>
      </c>
      <c r="G1452" s="24">
        <f t="shared" si="2182"/>
        <v>1415</v>
      </c>
      <c r="H1452" s="24">
        <f t="shared" ref="H1452:I1452" si="2183">SUM(H1448:H1451)</f>
        <v>1352</v>
      </c>
      <c r="I1452" s="24">
        <f t="shared" si="2183"/>
        <v>1449</v>
      </c>
      <c r="J1452" s="24">
        <f t="shared" ref="J1452:K1452" si="2184">SUM(J1448:J1451)</f>
        <v>1633</v>
      </c>
      <c r="K1452" s="24">
        <f t="shared" si="2184"/>
        <v>1570</v>
      </c>
      <c r="L1452" s="24">
        <f t="shared" ref="L1452:M1452" si="2185">SUM(L1448:L1451)</f>
        <v>1431</v>
      </c>
      <c r="M1452" s="24">
        <f t="shared" si="2185"/>
        <v>1389</v>
      </c>
      <c r="N1452" s="144">
        <f>SUM(N1448:N1451)</f>
        <v>17634</v>
      </c>
      <c r="O1452" s="25">
        <f>SUM(O1448:O1451)</f>
        <v>1469.5</v>
      </c>
      <c r="P1452" s="8"/>
      <c r="Q1452" s="8"/>
      <c r="R1452" s="8"/>
      <c r="S1452" s="8"/>
      <c r="T1452" s="8"/>
      <c r="U1452" s="8"/>
      <c r="V1452" s="8"/>
      <c r="W1452" s="8"/>
      <c r="X1452" s="8"/>
      <c r="Y1452" s="8"/>
      <c r="Z1452" s="8"/>
    </row>
    <row r="1453" spans="1:26" s="9" customFormat="1" ht="15.75">
      <c r="A1453" s="62" t="s">
        <v>112</v>
      </c>
      <c r="B1453" s="25">
        <f t="shared" ref="B1453:G1453" si="2186">IF(B1452=0,"",B1452/B$1870)</f>
        <v>45.516129032258064</v>
      </c>
      <c r="C1453" s="25">
        <f t="shared" si="2186"/>
        <v>53.678571428571431</v>
      </c>
      <c r="D1453" s="25">
        <f t="shared" si="2186"/>
        <v>46.806451612903224</v>
      </c>
      <c r="E1453" s="25">
        <f t="shared" si="2186"/>
        <v>51.833333333333336</v>
      </c>
      <c r="F1453" s="25">
        <f t="shared" si="2186"/>
        <v>47.58064516129032</v>
      </c>
      <c r="G1453" s="25">
        <f t="shared" si="2186"/>
        <v>47.166666666666664</v>
      </c>
      <c r="H1453" s="25">
        <f t="shared" ref="H1453:I1453" si="2187">IF(H1452=0,"",H1452/H$1870)</f>
        <v>43.612903225806448</v>
      </c>
      <c r="I1453" s="25">
        <f t="shared" si="2187"/>
        <v>46.741935483870968</v>
      </c>
      <c r="J1453" s="25">
        <f t="shared" ref="J1453:K1453" si="2188">IF(J1452=0,"",J1452/J$1870)</f>
        <v>54.43333333333333</v>
      </c>
      <c r="K1453" s="25">
        <f t="shared" si="2188"/>
        <v>50.645161290322584</v>
      </c>
      <c r="L1453" s="25">
        <f t="shared" ref="L1453:M1453" si="2189">IF(L1452=0,"",L1452/L$1870)</f>
        <v>47.7</v>
      </c>
      <c r="M1453" s="25">
        <f t="shared" si="2189"/>
        <v>44.806451612903224</v>
      </c>
      <c r="N1453" s="144">
        <f>SUM(B1453:M1453)</f>
        <v>580.52158218125965</v>
      </c>
      <c r="O1453" s="25">
        <f>IF(N1453=0,0,AVERAGE(B1453:M1453))</f>
        <v>48.376798515104973</v>
      </c>
      <c r="P1453" s="8"/>
      <c r="Q1453" s="8"/>
      <c r="R1453" s="8"/>
      <c r="S1453" s="8"/>
      <c r="T1453" s="8"/>
      <c r="U1453" s="8"/>
      <c r="V1453" s="8"/>
      <c r="W1453" s="8"/>
      <c r="X1453" s="8"/>
      <c r="Y1453" s="8"/>
      <c r="Z1453" s="8"/>
    </row>
    <row r="1454" spans="1:26" s="9" customFormat="1" ht="15.75">
      <c r="A1454" s="137"/>
      <c r="B1454" s="138"/>
      <c r="C1454" s="138"/>
      <c r="D1454" s="138"/>
      <c r="E1454" s="138"/>
      <c r="F1454" s="138"/>
      <c r="G1454" s="138"/>
      <c r="H1454" s="138"/>
      <c r="I1454" s="138"/>
      <c r="J1454" s="138"/>
      <c r="K1454" s="138"/>
      <c r="L1454" s="138"/>
      <c r="M1454" s="138"/>
      <c r="N1454" s="177"/>
      <c r="O1454" s="139"/>
      <c r="P1454" s="8"/>
      <c r="Q1454" s="8"/>
      <c r="R1454" s="8"/>
      <c r="S1454" s="8"/>
      <c r="T1454" s="8"/>
      <c r="U1454" s="8"/>
      <c r="V1454" s="8"/>
      <c r="W1454" s="8"/>
      <c r="X1454" s="8"/>
      <c r="Y1454" s="8"/>
      <c r="Z1454" s="8"/>
    </row>
    <row r="1455" spans="1:26" s="9" customFormat="1" ht="15.75">
      <c r="A1455" s="66" t="s">
        <v>803</v>
      </c>
      <c r="B1455" s="81"/>
      <c r="C1455" s="81"/>
      <c r="D1455" s="81"/>
      <c r="E1455" s="81"/>
      <c r="F1455" s="81"/>
      <c r="G1455" s="81"/>
      <c r="H1455" s="81"/>
      <c r="I1455" s="81"/>
      <c r="J1455" s="81"/>
      <c r="K1455" s="81"/>
      <c r="L1455" s="81"/>
      <c r="M1455" s="81"/>
      <c r="N1455" s="165"/>
      <c r="O1455" s="82"/>
      <c r="P1455" s="8"/>
      <c r="Q1455" s="8"/>
      <c r="R1455" s="8"/>
      <c r="S1455" s="8"/>
      <c r="T1455" s="8"/>
      <c r="U1455" s="8"/>
      <c r="V1455" s="8"/>
      <c r="W1455" s="8"/>
      <c r="X1455" s="8"/>
      <c r="Y1455" s="8"/>
      <c r="Z1455" s="8"/>
    </row>
    <row r="1456" spans="1:26" s="9" customFormat="1" ht="15.75">
      <c r="A1456" s="40" t="s">
        <v>18</v>
      </c>
      <c r="B1456" s="21">
        <v>39</v>
      </c>
      <c r="C1456" s="21">
        <v>110</v>
      </c>
      <c r="D1456" s="21">
        <v>91</v>
      </c>
      <c r="E1456" s="21">
        <v>68</v>
      </c>
      <c r="F1456" s="21">
        <v>52</v>
      </c>
      <c r="G1456" s="21">
        <v>28</v>
      </c>
      <c r="H1456" s="21">
        <v>27</v>
      </c>
      <c r="I1456" s="21">
        <v>36</v>
      </c>
      <c r="J1456" s="87">
        <v>44</v>
      </c>
      <c r="K1456" s="87">
        <v>31</v>
      </c>
      <c r="L1456" s="21">
        <v>28</v>
      </c>
      <c r="M1456" s="21">
        <v>266</v>
      </c>
      <c r="N1456" s="150">
        <f>SUM(B1456:M1456)</f>
        <v>820</v>
      </c>
      <c r="O1456" s="22">
        <f>IF(N1456=0,0,AVERAGE(B1456:M1456))</f>
        <v>68.333333333333329</v>
      </c>
      <c r="P1456" s="8"/>
      <c r="Q1456" s="8"/>
      <c r="R1456" s="8"/>
      <c r="S1456" s="8"/>
      <c r="T1456" s="8"/>
      <c r="U1456" s="8"/>
      <c r="V1456" s="8"/>
      <c r="W1456" s="8"/>
      <c r="X1456" s="8"/>
      <c r="Y1456" s="8"/>
      <c r="Z1456" s="8"/>
    </row>
    <row r="1457" spans="1:26" s="9" customFormat="1" ht="15.75">
      <c r="A1457" s="40" t="s">
        <v>19</v>
      </c>
      <c r="B1457" s="21">
        <v>168</v>
      </c>
      <c r="C1457" s="21">
        <v>275</v>
      </c>
      <c r="D1457" s="21">
        <v>254</v>
      </c>
      <c r="E1457" s="21">
        <v>231</v>
      </c>
      <c r="F1457" s="21">
        <v>211</v>
      </c>
      <c r="G1457" s="21">
        <v>171</v>
      </c>
      <c r="H1457" s="21">
        <v>166</v>
      </c>
      <c r="I1457" s="21">
        <v>345</v>
      </c>
      <c r="J1457" s="87">
        <v>395</v>
      </c>
      <c r="K1457" s="87">
        <v>399</v>
      </c>
      <c r="L1457" s="21">
        <v>363</v>
      </c>
      <c r="M1457" s="21">
        <v>176</v>
      </c>
      <c r="N1457" s="150">
        <f>SUM(B1457:M1457)</f>
        <v>3154</v>
      </c>
      <c r="O1457" s="22">
        <f>IF(N1457=0,0,AVERAGE(B1457:M1457))</f>
        <v>262.83333333333331</v>
      </c>
      <c r="P1457" s="8"/>
      <c r="Q1457" s="8"/>
      <c r="R1457" s="8"/>
      <c r="S1457" s="8"/>
      <c r="T1457" s="8"/>
      <c r="U1457" s="8"/>
      <c r="V1457" s="8"/>
      <c r="W1457" s="8"/>
      <c r="X1457" s="8"/>
      <c r="Y1457" s="8"/>
      <c r="Z1457" s="8"/>
    </row>
    <row r="1458" spans="1:26" s="9" customFormat="1" ht="15.75">
      <c r="A1458" s="40" t="s">
        <v>20</v>
      </c>
      <c r="B1458" s="21">
        <v>1204</v>
      </c>
      <c r="C1458" s="21">
        <v>1118</v>
      </c>
      <c r="D1458" s="21">
        <v>1106</v>
      </c>
      <c r="E1458" s="21">
        <v>1256</v>
      </c>
      <c r="F1458" s="21">
        <v>1212</v>
      </c>
      <c r="G1458" s="21">
        <v>1216</v>
      </c>
      <c r="H1458" s="21">
        <v>1159</v>
      </c>
      <c r="I1458" s="21">
        <v>1068</v>
      </c>
      <c r="J1458" s="87">
        <v>1194</v>
      </c>
      <c r="K1458" s="87">
        <v>1140</v>
      </c>
      <c r="L1458" s="21">
        <v>1040</v>
      </c>
      <c r="M1458" s="21">
        <v>947</v>
      </c>
      <c r="N1458" s="150">
        <f>SUM(B1458:M1458)</f>
        <v>13660</v>
      </c>
      <c r="O1458" s="22">
        <f>IF(N1458=0,0,AVERAGE(B1458:M1458))</f>
        <v>1138.3333333333333</v>
      </c>
      <c r="P1458" s="8"/>
      <c r="Q1458" s="8"/>
      <c r="R1458" s="8"/>
      <c r="S1458" s="8"/>
      <c r="T1458" s="8"/>
      <c r="U1458" s="8"/>
      <c r="V1458" s="8"/>
      <c r="W1458" s="8"/>
      <c r="X1458" s="8"/>
      <c r="Y1458" s="8"/>
      <c r="Z1458" s="8"/>
    </row>
    <row r="1459" spans="1:26" s="9" customFormat="1" ht="15.75">
      <c r="A1459" s="62" t="s">
        <v>21</v>
      </c>
      <c r="B1459" s="24">
        <f t="shared" ref="B1459:C1459" si="2190">SUM(B1456:B1458)</f>
        <v>1411</v>
      </c>
      <c r="C1459" s="24">
        <f t="shared" si="2190"/>
        <v>1503</v>
      </c>
      <c r="D1459" s="24">
        <f t="shared" ref="D1459:E1459" si="2191">SUM(D1456:D1458)</f>
        <v>1451</v>
      </c>
      <c r="E1459" s="24">
        <f t="shared" si="2191"/>
        <v>1555</v>
      </c>
      <c r="F1459" s="24">
        <f t="shared" ref="F1459:G1459" si="2192">SUM(F1456:F1458)</f>
        <v>1475</v>
      </c>
      <c r="G1459" s="24">
        <f t="shared" si="2192"/>
        <v>1415</v>
      </c>
      <c r="H1459" s="24">
        <f t="shared" ref="H1459:I1459" si="2193">SUM(H1456:H1458)</f>
        <v>1352</v>
      </c>
      <c r="I1459" s="24">
        <f t="shared" si="2193"/>
        <v>1449</v>
      </c>
      <c r="J1459" s="24">
        <f t="shared" ref="J1459:K1459" si="2194">SUM(J1456:J1458)</f>
        <v>1633</v>
      </c>
      <c r="K1459" s="24">
        <f t="shared" si="2194"/>
        <v>1570</v>
      </c>
      <c r="L1459" s="24">
        <f t="shared" ref="L1459:M1459" si="2195">SUM(L1456:L1458)</f>
        <v>1431</v>
      </c>
      <c r="M1459" s="24">
        <f t="shared" si="2195"/>
        <v>1389</v>
      </c>
      <c r="N1459" s="144">
        <f>SUM(N1456:N1458)</f>
        <v>17634</v>
      </c>
      <c r="O1459" s="25">
        <f>SUM(O1456:O1458)</f>
        <v>1469.5</v>
      </c>
      <c r="P1459" s="8"/>
      <c r="Q1459" s="8"/>
      <c r="R1459" s="8"/>
      <c r="S1459" s="8"/>
      <c r="T1459" s="8"/>
      <c r="U1459" s="8"/>
      <c r="V1459" s="8"/>
      <c r="W1459" s="8"/>
      <c r="X1459" s="8"/>
      <c r="Y1459" s="8"/>
      <c r="Z1459" s="8"/>
    </row>
    <row r="1460" spans="1:26" s="9" customFormat="1" ht="15.75">
      <c r="A1460" s="62" t="s">
        <v>112</v>
      </c>
      <c r="B1460" s="25">
        <f t="shared" ref="B1460:G1460" si="2196">IF(B1459=0,"",B1459/B$1870)</f>
        <v>45.516129032258064</v>
      </c>
      <c r="C1460" s="25">
        <f t="shared" si="2196"/>
        <v>53.678571428571431</v>
      </c>
      <c r="D1460" s="25">
        <f t="shared" si="2196"/>
        <v>46.806451612903224</v>
      </c>
      <c r="E1460" s="25">
        <f t="shared" si="2196"/>
        <v>51.833333333333336</v>
      </c>
      <c r="F1460" s="25">
        <f t="shared" si="2196"/>
        <v>47.58064516129032</v>
      </c>
      <c r="G1460" s="25">
        <f t="shared" si="2196"/>
        <v>47.166666666666664</v>
      </c>
      <c r="H1460" s="25">
        <f t="shared" ref="H1460:I1460" si="2197">IF(H1459=0,"",H1459/H$1870)</f>
        <v>43.612903225806448</v>
      </c>
      <c r="I1460" s="25">
        <f t="shared" si="2197"/>
        <v>46.741935483870968</v>
      </c>
      <c r="J1460" s="25">
        <f t="shared" ref="J1460:K1460" si="2198">IF(J1459=0,"",J1459/J$1870)</f>
        <v>54.43333333333333</v>
      </c>
      <c r="K1460" s="25">
        <f t="shared" si="2198"/>
        <v>50.645161290322584</v>
      </c>
      <c r="L1460" s="25">
        <f t="shared" ref="L1460:M1460" si="2199">IF(L1459=0,"",L1459/L$1870)</f>
        <v>47.7</v>
      </c>
      <c r="M1460" s="25">
        <f t="shared" si="2199"/>
        <v>44.806451612903224</v>
      </c>
      <c r="N1460" s="144">
        <f>SUM(B1460:M1460)</f>
        <v>580.52158218125965</v>
      </c>
      <c r="O1460" s="25">
        <f>IF(N1460=0,0,AVERAGE(B1460:M1460))</f>
        <v>48.376798515104973</v>
      </c>
      <c r="P1460" s="8"/>
      <c r="Q1460" s="8"/>
      <c r="R1460" s="8"/>
      <c r="S1460" s="8"/>
      <c r="T1460" s="8"/>
      <c r="U1460" s="8"/>
      <c r="V1460" s="8"/>
      <c r="W1460" s="8"/>
      <c r="X1460" s="8"/>
      <c r="Y1460" s="8"/>
      <c r="Z1460" s="8"/>
    </row>
    <row r="1461" spans="1:26" s="280" customFormat="1" ht="15.75">
      <c r="A1461" s="137"/>
      <c r="B1461" s="138"/>
      <c r="C1461" s="138"/>
      <c r="D1461" s="138"/>
      <c r="E1461" s="138"/>
      <c r="F1461" s="138"/>
      <c r="G1461" s="138"/>
      <c r="H1461" s="138"/>
      <c r="I1461" s="138"/>
      <c r="J1461" s="138"/>
      <c r="K1461" s="138"/>
      <c r="L1461" s="138"/>
      <c r="M1461" s="138"/>
      <c r="N1461" s="177"/>
      <c r="O1461" s="139"/>
    </row>
    <row r="1462" spans="1:26" s="9" customFormat="1" ht="15.75">
      <c r="A1462" s="66" t="s">
        <v>804</v>
      </c>
      <c r="B1462" s="18"/>
      <c r="C1462" s="18"/>
      <c r="D1462" s="18"/>
      <c r="E1462" s="18"/>
      <c r="F1462" s="18"/>
      <c r="G1462" s="18"/>
      <c r="H1462" s="18"/>
      <c r="I1462" s="18"/>
      <c r="J1462" s="18"/>
      <c r="K1462" s="18"/>
      <c r="L1462" s="18"/>
      <c r="M1462" s="18"/>
      <c r="N1462" s="149"/>
      <c r="O1462" s="19"/>
      <c r="P1462" s="13"/>
      <c r="Q1462" s="13"/>
      <c r="R1462" s="13"/>
      <c r="S1462" s="13"/>
      <c r="T1462" s="13"/>
      <c r="U1462" s="13"/>
      <c r="V1462" s="13"/>
      <c r="W1462" s="13"/>
      <c r="X1462" s="13"/>
      <c r="Y1462" s="13"/>
      <c r="Z1462" s="13"/>
    </row>
    <row r="1463" spans="1:26" s="9" customFormat="1" ht="15.75">
      <c r="A1463" s="37" t="s">
        <v>166</v>
      </c>
      <c r="B1463" s="21">
        <v>0</v>
      </c>
      <c r="C1463" s="21">
        <v>0</v>
      </c>
      <c r="D1463" s="21">
        <v>0</v>
      </c>
      <c r="E1463" s="21">
        <v>0</v>
      </c>
      <c r="F1463" s="21">
        <v>0</v>
      </c>
      <c r="G1463" s="21">
        <v>0</v>
      </c>
      <c r="H1463" s="21">
        <v>0</v>
      </c>
      <c r="I1463" s="21">
        <v>0</v>
      </c>
      <c r="J1463" s="21">
        <v>0</v>
      </c>
      <c r="K1463" s="21">
        <v>0</v>
      </c>
      <c r="L1463" s="21">
        <v>0</v>
      </c>
      <c r="M1463" s="21">
        <v>0</v>
      </c>
      <c r="N1463" s="150">
        <f>SUM(B1463:M1463)</f>
        <v>0</v>
      </c>
      <c r="O1463" s="22">
        <f>IF(N1463=0,0,AVERAGE(B1463:M1463))</f>
        <v>0</v>
      </c>
      <c r="P1463" s="13"/>
      <c r="Q1463" s="13"/>
      <c r="R1463" s="13"/>
      <c r="S1463" s="13"/>
      <c r="T1463" s="13"/>
      <c r="U1463" s="13"/>
      <c r="V1463" s="13"/>
      <c r="W1463" s="13"/>
      <c r="X1463" s="13"/>
      <c r="Y1463" s="13"/>
      <c r="Z1463" s="13"/>
    </row>
    <row r="1464" spans="1:26" s="9" customFormat="1" ht="15.75">
      <c r="A1464" s="62" t="s">
        <v>21</v>
      </c>
      <c r="B1464" s="24">
        <f t="shared" ref="B1464:G1464" si="2200">B1463</f>
        <v>0</v>
      </c>
      <c r="C1464" s="24">
        <f t="shared" si="2200"/>
        <v>0</v>
      </c>
      <c r="D1464" s="24">
        <f t="shared" si="2200"/>
        <v>0</v>
      </c>
      <c r="E1464" s="24">
        <f t="shared" si="2200"/>
        <v>0</v>
      </c>
      <c r="F1464" s="24">
        <f t="shared" si="2200"/>
        <v>0</v>
      </c>
      <c r="G1464" s="24">
        <f t="shared" si="2200"/>
        <v>0</v>
      </c>
      <c r="H1464" s="24">
        <f t="shared" ref="H1464:I1464" si="2201">H1463</f>
        <v>0</v>
      </c>
      <c r="I1464" s="24">
        <f t="shared" si="2201"/>
        <v>0</v>
      </c>
      <c r="J1464" s="24">
        <f t="shared" ref="J1464:K1464" si="2202">J1463</f>
        <v>0</v>
      </c>
      <c r="K1464" s="24">
        <f t="shared" si="2202"/>
        <v>0</v>
      </c>
      <c r="L1464" s="24">
        <f t="shared" ref="L1464:M1464" si="2203">L1463</f>
        <v>0</v>
      </c>
      <c r="M1464" s="24">
        <f t="shared" si="2203"/>
        <v>0</v>
      </c>
      <c r="N1464" s="144">
        <f>SUM(N1463)</f>
        <v>0</v>
      </c>
      <c r="O1464" s="25">
        <f>SUM(O1463)</f>
        <v>0</v>
      </c>
      <c r="P1464" s="13"/>
      <c r="Q1464" s="13"/>
      <c r="R1464" s="13"/>
      <c r="S1464" s="13"/>
      <c r="T1464" s="13"/>
      <c r="U1464" s="13"/>
      <c r="V1464" s="13"/>
      <c r="W1464" s="13"/>
      <c r="X1464" s="13"/>
      <c r="Y1464" s="13"/>
      <c r="Z1464" s="13"/>
    </row>
    <row r="1465" spans="1:26" s="9" customFormat="1" ht="15.75">
      <c r="A1465" s="62" t="s">
        <v>112</v>
      </c>
      <c r="B1465" s="25" t="s">
        <v>44</v>
      </c>
      <c r="C1465" s="25" t="s">
        <v>44</v>
      </c>
      <c r="D1465" s="25" t="s">
        <v>44</v>
      </c>
      <c r="E1465" s="25" t="s">
        <v>44</v>
      </c>
      <c r="F1465" s="25" t="s">
        <v>44</v>
      </c>
      <c r="G1465" s="25" t="s">
        <v>44</v>
      </c>
      <c r="H1465" s="25" t="s">
        <v>44</v>
      </c>
      <c r="I1465" s="25" t="s">
        <v>44</v>
      </c>
      <c r="J1465" s="25" t="s">
        <v>44</v>
      </c>
      <c r="K1465" s="25" t="s">
        <v>44</v>
      </c>
      <c r="L1465" s="25" t="s">
        <v>44</v>
      </c>
      <c r="M1465" s="25" t="s">
        <v>44</v>
      </c>
      <c r="N1465" s="144">
        <f>SUM(B1465:M1465)</f>
        <v>0</v>
      </c>
      <c r="O1465" s="25">
        <f>IF(N1465=0,0,AVERAGE(B1465:M1465))</f>
        <v>0</v>
      </c>
      <c r="P1465" s="13"/>
      <c r="Q1465" s="13"/>
      <c r="R1465" s="13"/>
      <c r="S1465" s="13"/>
      <c r="T1465" s="13"/>
      <c r="U1465" s="13"/>
      <c r="V1465" s="13"/>
      <c r="W1465" s="13"/>
      <c r="X1465" s="13"/>
      <c r="Y1465" s="13"/>
      <c r="Z1465" s="13"/>
    </row>
    <row r="1466" spans="1:26" s="9" customFormat="1" ht="15.75">
      <c r="P1466" s="13"/>
      <c r="Q1466" s="13"/>
      <c r="R1466" s="13"/>
      <c r="S1466" s="13"/>
      <c r="T1466" s="13"/>
      <c r="U1466" s="13"/>
      <c r="V1466" s="13"/>
      <c r="W1466" s="13"/>
      <c r="X1466" s="13"/>
      <c r="Y1466" s="13"/>
      <c r="Z1466" s="13"/>
    </row>
    <row r="1467" spans="1:26" s="9" customFormat="1" ht="15.75">
      <c r="A1467" s="404" t="s">
        <v>805</v>
      </c>
      <c r="B1467" s="392"/>
      <c r="C1467" s="392"/>
      <c r="D1467" s="392"/>
      <c r="E1467" s="392"/>
      <c r="F1467" s="392"/>
      <c r="G1467" s="392"/>
      <c r="H1467" s="392"/>
      <c r="I1467" s="392"/>
      <c r="J1467" s="392"/>
      <c r="K1467" s="392"/>
      <c r="L1467" s="392"/>
      <c r="M1467" s="392"/>
      <c r="N1467" s="393"/>
      <c r="O1467" s="394"/>
      <c r="P1467" s="13"/>
      <c r="Q1467" s="13"/>
      <c r="R1467" s="13"/>
      <c r="S1467" s="13"/>
      <c r="T1467" s="13"/>
      <c r="U1467" s="13"/>
      <c r="V1467" s="13"/>
      <c r="W1467" s="13"/>
      <c r="X1467" s="13"/>
      <c r="Y1467" s="13"/>
      <c r="Z1467" s="13"/>
    </row>
    <row r="1468" spans="1:26" s="9" customFormat="1" ht="15.75">
      <c r="A1468" s="395" t="s">
        <v>806</v>
      </c>
      <c r="B1468" s="409"/>
      <c r="C1468" s="409"/>
      <c r="D1468" s="409"/>
      <c r="E1468" s="409"/>
      <c r="F1468" s="409"/>
      <c r="G1468" s="409"/>
      <c r="H1468" s="409"/>
      <c r="I1468" s="409"/>
      <c r="J1468" s="409"/>
      <c r="K1468" s="409"/>
      <c r="L1468" s="409"/>
      <c r="M1468" s="409"/>
      <c r="N1468" s="410"/>
      <c r="O1468" s="411"/>
      <c r="P1468" s="13"/>
      <c r="Q1468" s="13"/>
      <c r="R1468" s="13"/>
      <c r="S1468" s="13"/>
      <c r="T1468" s="13"/>
      <c r="U1468" s="13"/>
      <c r="V1468" s="13"/>
      <c r="W1468" s="13"/>
      <c r="X1468" s="13"/>
      <c r="Y1468" s="13"/>
      <c r="Z1468" s="13"/>
    </row>
    <row r="1469" spans="1:26" s="9" customFormat="1" ht="15.75">
      <c r="A1469" s="377" t="s">
        <v>709</v>
      </c>
      <c r="B1469" s="21">
        <v>12</v>
      </c>
      <c r="C1469" s="21">
        <v>16</v>
      </c>
      <c r="D1469" s="21">
        <v>14</v>
      </c>
      <c r="E1469" s="21">
        <v>12</v>
      </c>
      <c r="F1469" s="21">
        <v>8</v>
      </c>
      <c r="G1469" s="21">
        <v>8</v>
      </c>
      <c r="H1469" s="21">
        <v>7</v>
      </c>
      <c r="I1469" s="21">
        <v>18</v>
      </c>
      <c r="J1469" s="87">
        <v>28</v>
      </c>
      <c r="K1469" s="87">
        <v>22</v>
      </c>
      <c r="L1469" s="21">
        <v>18</v>
      </c>
      <c r="M1469" s="21">
        <v>22</v>
      </c>
      <c r="N1469" s="150">
        <f>SUM(B1469:M1469)</f>
        <v>185</v>
      </c>
      <c r="O1469" s="22">
        <f>IF(N1469=0,0,AVERAGE(B1469:M1469))</f>
        <v>15.416666666666666</v>
      </c>
      <c r="P1469" s="13"/>
      <c r="Q1469" s="13"/>
      <c r="R1469" s="13"/>
      <c r="S1469" s="13"/>
      <c r="T1469" s="13"/>
      <c r="U1469" s="13"/>
      <c r="V1469" s="13"/>
      <c r="W1469" s="13"/>
      <c r="X1469" s="13"/>
      <c r="Y1469" s="13"/>
      <c r="Z1469" s="13"/>
    </row>
    <row r="1470" spans="1:26" s="9" customFormat="1" ht="15.75">
      <c r="A1470" s="377" t="s">
        <v>710</v>
      </c>
      <c r="B1470" s="21">
        <v>52</v>
      </c>
      <c r="C1470" s="21">
        <v>98</v>
      </c>
      <c r="D1470" s="21">
        <v>89</v>
      </c>
      <c r="E1470" s="21">
        <v>77</v>
      </c>
      <c r="F1470" s="21">
        <v>68</v>
      </c>
      <c r="G1470" s="21">
        <v>55</v>
      </c>
      <c r="H1470" s="21">
        <v>51</v>
      </c>
      <c r="I1470" s="21">
        <v>63</v>
      </c>
      <c r="J1470" s="87">
        <v>76</v>
      </c>
      <c r="K1470" s="87">
        <v>82</v>
      </c>
      <c r="L1470" s="21">
        <v>71</v>
      </c>
      <c r="M1470" s="21">
        <v>80</v>
      </c>
      <c r="N1470" s="150">
        <f>SUM(B1470:M1470)</f>
        <v>862</v>
      </c>
      <c r="O1470" s="22">
        <f>IF(N1470=0,0,AVERAGE(B1470:M1470))</f>
        <v>71.833333333333329</v>
      </c>
      <c r="P1470" s="13"/>
      <c r="Q1470" s="13"/>
      <c r="R1470" s="13"/>
      <c r="S1470" s="13"/>
      <c r="T1470" s="13"/>
      <c r="U1470" s="13"/>
      <c r="V1470" s="13"/>
      <c r="W1470" s="13"/>
      <c r="X1470" s="13"/>
      <c r="Y1470" s="13"/>
      <c r="Z1470" s="13"/>
    </row>
    <row r="1471" spans="1:26" s="9" customFormat="1" ht="15.75">
      <c r="A1471" s="377" t="s">
        <v>711</v>
      </c>
      <c r="B1471" s="21">
        <v>0</v>
      </c>
      <c r="C1471" s="21">
        <v>0</v>
      </c>
      <c r="D1471" s="21">
        <v>0</v>
      </c>
      <c r="E1471" s="21">
        <v>0</v>
      </c>
      <c r="F1471" s="21">
        <v>0</v>
      </c>
      <c r="G1471" s="21">
        <v>0</v>
      </c>
      <c r="H1471" s="21">
        <v>0</v>
      </c>
      <c r="I1471" s="21">
        <v>1</v>
      </c>
      <c r="J1471" s="87">
        <v>1</v>
      </c>
      <c r="K1471" s="87">
        <v>1</v>
      </c>
      <c r="L1471" s="21">
        <v>0</v>
      </c>
      <c r="M1471" s="21">
        <v>0</v>
      </c>
      <c r="N1471" s="150">
        <f>SUM(B1471:M1471)</f>
        <v>3</v>
      </c>
      <c r="O1471" s="22">
        <f>IF(N1471=0,0,AVERAGE(B1471:M1471))</f>
        <v>0.25</v>
      </c>
      <c r="P1471" s="13"/>
      <c r="Q1471" s="13"/>
      <c r="R1471" s="13"/>
      <c r="S1471" s="13"/>
      <c r="T1471" s="13"/>
      <c r="U1471" s="13"/>
      <c r="V1471" s="13"/>
      <c r="W1471" s="13"/>
      <c r="X1471" s="13"/>
      <c r="Y1471" s="13"/>
      <c r="Z1471" s="13"/>
    </row>
    <row r="1472" spans="1:26" s="9" customFormat="1" ht="15.75">
      <c r="A1472" s="377" t="s">
        <v>712</v>
      </c>
      <c r="B1472" s="21">
        <v>26</v>
      </c>
      <c r="C1472" s="21">
        <v>16</v>
      </c>
      <c r="D1472" s="21">
        <v>14</v>
      </c>
      <c r="E1472" s="21">
        <v>16</v>
      </c>
      <c r="F1472" s="21">
        <v>11</v>
      </c>
      <c r="G1472" s="21">
        <v>8</v>
      </c>
      <c r="H1472" s="21">
        <v>9</v>
      </c>
      <c r="I1472" s="21">
        <v>21</v>
      </c>
      <c r="J1472" s="87">
        <v>29</v>
      </c>
      <c r="K1472" s="87">
        <v>33</v>
      </c>
      <c r="L1472" s="21">
        <v>21</v>
      </c>
      <c r="M1472" s="21">
        <v>36</v>
      </c>
      <c r="N1472" s="150">
        <f t="shared" ref="N1472:N1473" si="2204">SUM(B1472:M1472)</f>
        <v>240</v>
      </c>
      <c r="O1472" s="22">
        <f t="shared" ref="O1472:O1473" si="2205">IF(N1472=0,0,AVERAGE(B1472:M1472))</f>
        <v>20</v>
      </c>
      <c r="P1472" s="8"/>
      <c r="Q1472" s="8"/>
      <c r="R1472" s="8"/>
      <c r="S1472" s="8"/>
      <c r="T1472" s="8"/>
      <c r="U1472" s="8"/>
      <c r="V1472" s="8"/>
      <c r="W1472" s="8"/>
      <c r="X1472" s="8"/>
      <c r="Y1472" s="8"/>
      <c r="Z1472" s="8"/>
    </row>
    <row r="1473" spans="1:26" s="9" customFormat="1" ht="15.75">
      <c r="A1473" s="378" t="s">
        <v>22</v>
      </c>
      <c r="B1473" s="21">
        <v>0</v>
      </c>
      <c r="C1473" s="21">
        <v>32</v>
      </c>
      <c r="D1473" s="21">
        <v>31</v>
      </c>
      <c r="E1473" s="21">
        <v>28</v>
      </c>
      <c r="F1473" s="21">
        <v>21</v>
      </c>
      <c r="G1473" s="21">
        <v>23</v>
      </c>
      <c r="H1473" s="21">
        <v>25</v>
      </c>
      <c r="I1473" s="21">
        <v>29</v>
      </c>
      <c r="J1473" s="87">
        <v>33</v>
      </c>
      <c r="K1473" s="87">
        <v>27</v>
      </c>
      <c r="L1473" s="21">
        <v>19</v>
      </c>
      <c r="M1473" s="21">
        <v>22</v>
      </c>
      <c r="N1473" s="150">
        <f t="shared" si="2204"/>
        <v>290</v>
      </c>
      <c r="O1473" s="22">
        <f t="shared" si="2205"/>
        <v>24.166666666666668</v>
      </c>
      <c r="P1473" s="13"/>
      <c r="Q1473" s="13"/>
      <c r="R1473" s="13"/>
      <c r="S1473" s="13"/>
      <c r="T1473" s="13"/>
      <c r="U1473" s="13"/>
      <c r="V1473" s="13"/>
      <c r="W1473" s="13"/>
      <c r="X1473" s="13"/>
      <c r="Y1473" s="13"/>
      <c r="Z1473" s="13"/>
    </row>
    <row r="1474" spans="1:26" s="9" customFormat="1" ht="15.75">
      <c r="A1474" s="62" t="s">
        <v>21</v>
      </c>
      <c r="B1474" s="24">
        <f t="shared" ref="B1474:G1474" si="2206">SUM(B1469:B1473)</f>
        <v>90</v>
      </c>
      <c r="C1474" s="24">
        <f t="shared" si="2206"/>
        <v>162</v>
      </c>
      <c r="D1474" s="24">
        <f t="shared" si="2206"/>
        <v>148</v>
      </c>
      <c r="E1474" s="24">
        <f t="shared" si="2206"/>
        <v>133</v>
      </c>
      <c r="F1474" s="24">
        <f t="shared" si="2206"/>
        <v>108</v>
      </c>
      <c r="G1474" s="24">
        <f t="shared" si="2206"/>
        <v>94</v>
      </c>
      <c r="H1474" s="24">
        <f t="shared" ref="H1474:I1474" si="2207">SUM(H1469:H1473)</f>
        <v>92</v>
      </c>
      <c r="I1474" s="24">
        <f t="shared" si="2207"/>
        <v>132</v>
      </c>
      <c r="J1474" s="24">
        <f t="shared" ref="J1474:K1474" si="2208">SUM(J1469:J1473)</f>
        <v>167</v>
      </c>
      <c r="K1474" s="24">
        <f t="shared" si="2208"/>
        <v>165</v>
      </c>
      <c r="L1474" s="24">
        <f t="shared" ref="L1474:M1474" si="2209">SUM(L1469:L1473)</f>
        <v>129</v>
      </c>
      <c r="M1474" s="24">
        <f t="shared" si="2209"/>
        <v>160</v>
      </c>
      <c r="N1474" s="144">
        <f>SUM(N1469:N1473)</f>
        <v>1580</v>
      </c>
      <c r="O1474" s="25">
        <f>SUM(O1469:O1473)</f>
        <v>131.66666666666666</v>
      </c>
      <c r="P1474" s="13"/>
      <c r="Q1474" s="13"/>
      <c r="R1474" s="13"/>
      <c r="S1474" s="13"/>
      <c r="T1474" s="13"/>
      <c r="U1474" s="13"/>
      <c r="V1474" s="13"/>
      <c r="W1474" s="13"/>
      <c r="X1474" s="13"/>
      <c r="Y1474" s="13"/>
      <c r="Z1474" s="13"/>
    </row>
    <row r="1475" spans="1:26" s="9" customFormat="1" ht="15.75">
      <c r="A1475" s="62" t="s">
        <v>112</v>
      </c>
      <c r="B1475" s="25">
        <f t="shared" ref="B1475:G1475" si="2210">IF(B1474=0,"",B1474/B$1870)</f>
        <v>2.903225806451613</v>
      </c>
      <c r="C1475" s="25">
        <f t="shared" si="2210"/>
        <v>5.7857142857142856</v>
      </c>
      <c r="D1475" s="25">
        <f t="shared" si="2210"/>
        <v>4.774193548387097</v>
      </c>
      <c r="E1475" s="25">
        <f t="shared" si="2210"/>
        <v>4.4333333333333336</v>
      </c>
      <c r="F1475" s="25">
        <f t="shared" si="2210"/>
        <v>3.4838709677419355</v>
      </c>
      <c r="G1475" s="25">
        <f t="shared" si="2210"/>
        <v>3.1333333333333333</v>
      </c>
      <c r="H1475" s="25">
        <f t="shared" ref="H1475:I1475" si="2211">IF(H1474=0,"",H1474/H$1870)</f>
        <v>2.967741935483871</v>
      </c>
      <c r="I1475" s="25">
        <f t="shared" si="2211"/>
        <v>4.258064516129032</v>
      </c>
      <c r="J1475" s="25">
        <f t="shared" ref="J1475:K1475" si="2212">IF(J1474=0,"",J1474/J$1870)</f>
        <v>5.5666666666666664</v>
      </c>
      <c r="K1475" s="25">
        <f t="shared" si="2212"/>
        <v>5.32258064516129</v>
      </c>
      <c r="L1475" s="25">
        <f t="shared" ref="L1475:M1475" si="2213">IF(L1474=0,"",L1474/L$1870)</f>
        <v>4.3</v>
      </c>
      <c r="M1475" s="25">
        <f t="shared" si="2213"/>
        <v>5.161290322580645</v>
      </c>
      <c r="N1475" s="144">
        <f>SUM(B1475:M1475)</f>
        <v>52.090015360983102</v>
      </c>
      <c r="O1475" s="25">
        <f>IF(N1475=0,0,AVERAGE(B1475:M1475))</f>
        <v>4.3408346134152582</v>
      </c>
      <c r="P1475" s="8"/>
      <c r="Q1475" s="8"/>
      <c r="R1475" s="8"/>
      <c r="S1475" s="8"/>
      <c r="T1475" s="8"/>
      <c r="U1475" s="8"/>
      <c r="V1475" s="8"/>
      <c r="W1475" s="8"/>
      <c r="X1475" s="8"/>
      <c r="Y1475" s="8"/>
      <c r="Z1475" s="8"/>
    </row>
    <row r="1476" spans="1:26" s="9" customFormat="1">
      <c r="P1476" s="8"/>
      <c r="Q1476" s="8"/>
      <c r="R1476" s="8"/>
      <c r="S1476" s="8"/>
      <c r="T1476" s="8"/>
      <c r="U1476" s="8"/>
      <c r="V1476" s="8"/>
      <c r="W1476" s="8"/>
      <c r="X1476" s="8"/>
      <c r="Y1476" s="8"/>
      <c r="Z1476" s="8"/>
    </row>
    <row r="1477" spans="1:26" s="9" customFormat="1" ht="15.75">
      <c r="A1477" s="66" t="s">
        <v>807</v>
      </c>
      <c r="B1477" s="81"/>
      <c r="C1477" s="81"/>
      <c r="D1477" s="81"/>
      <c r="E1477" s="81"/>
      <c r="F1477" s="81"/>
      <c r="G1477" s="81"/>
      <c r="H1477" s="81"/>
      <c r="I1477" s="81"/>
      <c r="J1477" s="81"/>
      <c r="K1477" s="81"/>
      <c r="L1477" s="81"/>
      <c r="M1477" s="81"/>
      <c r="N1477" s="165"/>
      <c r="O1477" s="82"/>
      <c r="P1477" s="8"/>
      <c r="Q1477" s="8"/>
      <c r="R1477" s="8"/>
      <c r="S1477" s="8"/>
      <c r="T1477" s="8"/>
      <c r="U1477" s="8"/>
      <c r="V1477" s="8"/>
      <c r="W1477" s="8"/>
      <c r="X1477" s="8"/>
      <c r="Y1477" s="8"/>
      <c r="Z1477" s="8"/>
    </row>
    <row r="1478" spans="1:26" s="9" customFormat="1" ht="15.75">
      <c r="A1478" s="40" t="s">
        <v>18</v>
      </c>
      <c r="B1478" s="21">
        <v>2</v>
      </c>
      <c r="C1478" s="21">
        <v>1</v>
      </c>
      <c r="D1478" s="21">
        <v>2</v>
      </c>
      <c r="E1478" s="21">
        <v>2</v>
      </c>
      <c r="F1478" s="21">
        <v>2</v>
      </c>
      <c r="G1478" s="21">
        <v>1</v>
      </c>
      <c r="H1478" s="21">
        <v>2</v>
      </c>
      <c r="I1478" s="21">
        <v>4</v>
      </c>
      <c r="J1478" s="87">
        <v>4</v>
      </c>
      <c r="K1478" s="87">
        <v>2</v>
      </c>
      <c r="L1478" s="87">
        <v>2</v>
      </c>
      <c r="M1478" s="21">
        <v>28</v>
      </c>
      <c r="N1478" s="150">
        <f>SUM(B1478:M1478)</f>
        <v>52</v>
      </c>
      <c r="O1478" s="22">
        <f>IF(N1478=0,0,AVERAGE(B1478:M1478))</f>
        <v>4.333333333333333</v>
      </c>
      <c r="P1478" s="8"/>
      <c r="Q1478" s="8"/>
      <c r="R1478" s="8"/>
      <c r="S1478" s="8"/>
      <c r="T1478" s="8"/>
      <c r="U1478" s="8"/>
      <c r="V1478" s="8"/>
      <c r="W1478" s="8"/>
      <c r="X1478" s="8"/>
      <c r="Y1478" s="8"/>
      <c r="Z1478" s="8"/>
    </row>
    <row r="1479" spans="1:26" s="9" customFormat="1" ht="15.75">
      <c r="A1479" s="40" t="s">
        <v>19</v>
      </c>
      <c r="B1479" s="21">
        <v>19</v>
      </c>
      <c r="C1479" s="21">
        <v>32</v>
      </c>
      <c r="D1479" s="21">
        <v>29</v>
      </c>
      <c r="E1479" s="21">
        <v>18</v>
      </c>
      <c r="F1479" s="21">
        <v>14</v>
      </c>
      <c r="G1479" s="21">
        <v>11</v>
      </c>
      <c r="H1479" s="21">
        <v>15</v>
      </c>
      <c r="I1479" s="21">
        <v>19</v>
      </c>
      <c r="J1479" s="87">
        <v>34</v>
      </c>
      <c r="K1479" s="87">
        <v>39</v>
      </c>
      <c r="L1479" s="87">
        <v>28</v>
      </c>
      <c r="M1479" s="21">
        <v>14</v>
      </c>
      <c r="N1479" s="150">
        <f>SUM(B1479:M1479)</f>
        <v>272</v>
      </c>
      <c r="O1479" s="22">
        <f>IF(N1479=0,0,AVERAGE(B1479:M1479))</f>
        <v>22.666666666666668</v>
      </c>
      <c r="P1479" s="8"/>
      <c r="Q1479" s="8"/>
      <c r="R1479" s="8"/>
      <c r="S1479" s="8"/>
      <c r="T1479" s="8"/>
      <c r="U1479" s="8"/>
      <c r="V1479" s="8"/>
      <c r="W1479" s="8"/>
      <c r="X1479" s="8"/>
      <c r="Y1479" s="8"/>
      <c r="Z1479" s="8"/>
    </row>
    <row r="1480" spans="1:26" s="9" customFormat="1" ht="15.75">
      <c r="A1480" s="40" t="s">
        <v>20</v>
      </c>
      <c r="B1480" s="21">
        <v>69</v>
      </c>
      <c r="C1480" s="21">
        <v>129</v>
      </c>
      <c r="D1480" s="21">
        <v>117</v>
      </c>
      <c r="E1480" s="21">
        <v>113</v>
      </c>
      <c r="F1480" s="21">
        <v>92</v>
      </c>
      <c r="G1480" s="21">
        <v>82</v>
      </c>
      <c r="H1480" s="21">
        <v>75</v>
      </c>
      <c r="I1480" s="21">
        <v>109</v>
      </c>
      <c r="J1480" s="87">
        <v>129</v>
      </c>
      <c r="K1480" s="87">
        <v>124</v>
      </c>
      <c r="L1480" s="87">
        <v>99</v>
      </c>
      <c r="M1480" s="21">
        <v>118</v>
      </c>
      <c r="N1480" s="150">
        <f>SUM(B1480:M1480)</f>
        <v>1256</v>
      </c>
      <c r="O1480" s="22">
        <f>IF(N1480=0,0,AVERAGE(B1480:M1480))</f>
        <v>104.66666666666667</v>
      </c>
      <c r="P1480" s="13"/>
      <c r="Q1480" s="13"/>
      <c r="R1480" s="13"/>
      <c r="S1480" s="13"/>
      <c r="T1480" s="13"/>
      <c r="U1480" s="13"/>
      <c r="V1480" s="13"/>
      <c r="W1480" s="13"/>
      <c r="X1480" s="13"/>
      <c r="Y1480" s="13"/>
      <c r="Z1480" s="13"/>
    </row>
    <row r="1481" spans="1:26" s="9" customFormat="1" ht="15.75">
      <c r="A1481" s="62" t="s">
        <v>21</v>
      </c>
      <c r="B1481" s="24">
        <f t="shared" ref="B1481:C1481" si="2214">SUM(B1478:B1480)</f>
        <v>90</v>
      </c>
      <c r="C1481" s="24">
        <f t="shared" si="2214"/>
        <v>162</v>
      </c>
      <c r="D1481" s="24">
        <f t="shared" ref="D1481:E1481" si="2215">SUM(D1478:D1480)</f>
        <v>148</v>
      </c>
      <c r="E1481" s="24">
        <f t="shared" si="2215"/>
        <v>133</v>
      </c>
      <c r="F1481" s="24">
        <f t="shared" ref="F1481:G1481" si="2216">SUM(F1478:F1480)</f>
        <v>108</v>
      </c>
      <c r="G1481" s="24">
        <f t="shared" si="2216"/>
        <v>94</v>
      </c>
      <c r="H1481" s="24">
        <f t="shared" ref="H1481:J1481" si="2217">SUM(H1478:H1480)</f>
        <v>92</v>
      </c>
      <c r="I1481" s="24">
        <f t="shared" si="2217"/>
        <v>132</v>
      </c>
      <c r="J1481" s="24">
        <f t="shared" si="2217"/>
        <v>167</v>
      </c>
      <c r="K1481" s="24">
        <f t="shared" ref="K1481:L1481" si="2218">SUM(K1478:K1480)</f>
        <v>165</v>
      </c>
      <c r="L1481" s="24">
        <f t="shared" si="2218"/>
        <v>129</v>
      </c>
      <c r="M1481" s="24">
        <f t="shared" ref="M1481" si="2219">SUM(M1478:M1480)</f>
        <v>160</v>
      </c>
      <c r="N1481" s="144">
        <f>SUM(N1478:N1480)</f>
        <v>1580</v>
      </c>
      <c r="O1481" s="25">
        <f>SUM(O1478:O1480)</f>
        <v>131.66666666666669</v>
      </c>
      <c r="P1481" s="8"/>
      <c r="Q1481" s="8"/>
      <c r="R1481" s="8"/>
      <c r="S1481" s="8"/>
      <c r="T1481" s="8"/>
      <c r="U1481" s="8"/>
      <c r="V1481" s="8"/>
      <c r="W1481" s="8"/>
      <c r="X1481" s="8"/>
      <c r="Y1481" s="8"/>
      <c r="Z1481" s="8"/>
    </row>
    <row r="1482" spans="1:26" s="9" customFormat="1" ht="15.75">
      <c r="A1482" s="62" t="s">
        <v>112</v>
      </c>
      <c r="B1482" s="25">
        <f t="shared" ref="B1482:G1482" si="2220">IF(B1481=0,"",B1481/B$1870)</f>
        <v>2.903225806451613</v>
      </c>
      <c r="C1482" s="25">
        <f t="shared" si="2220"/>
        <v>5.7857142857142856</v>
      </c>
      <c r="D1482" s="25">
        <f t="shared" si="2220"/>
        <v>4.774193548387097</v>
      </c>
      <c r="E1482" s="25">
        <f t="shared" si="2220"/>
        <v>4.4333333333333336</v>
      </c>
      <c r="F1482" s="25">
        <f t="shared" si="2220"/>
        <v>3.4838709677419355</v>
      </c>
      <c r="G1482" s="25">
        <f t="shared" si="2220"/>
        <v>3.1333333333333333</v>
      </c>
      <c r="H1482" s="25">
        <f t="shared" ref="H1482:I1482" si="2221">IF(H1481=0,"",H1481/H$1870)</f>
        <v>2.967741935483871</v>
      </c>
      <c r="I1482" s="25">
        <f t="shared" si="2221"/>
        <v>4.258064516129032</v>
      </c>
      <c r="J1482" s="25">
        <f t="shared" ref="J1482:K1482" si="2222">IF(J1481=0,"",J1481/J$1870)</f>
        <v>5.5666666666666664</v>
      </c>
      <c r="K1482" s="25">
        <f t="shared" si="2222"/>
        <v>5.32258064516129</v>
      </c>
      <c r="L1482" s="25">
        <f t="shared" ref="L1482:M1482" si="2223">IF(L1481=0,"",L1481/L$1870)</f>
        <v>4.3</v>
      </c>
      <c r="M1482" s="25">
        <f t="shared" si="2223"/>
        <v>5.161290322580645</v>
      </c>
      <c r="N1482" s="144">
        <f>SUM(B1482:M1482)</f>
        <v>52.090015360983102</v>
      </c>
      <c r="O1482" s="25">
        <f>IF(N1482=0,0,AVERAGE(B1482:M1482))</f>
        <v>4.3408346134152582</v>
      </c>
      <c r="P1482" s="13"/>
      <c r="Q1482" s="13"/>
      <c r="R1482" s="13"/>
      <c r="S1482" s="13"/>
      <c r="T1482" s="13"/>
      <c r="U1482" s="13"/>
      <c r="V1482" s="13"/>
      <c r="W1482" s="13"/>
      <c r="X1482" s="13"/>
      <c r="Y1482" s="13"/>
      <c r="Z1482" s="13"/>
    </row>
    <row r="1483" spans="1:26" s="9" customFormat="1">
      <c r="A1483" s="26"/>
      <c r="B1483" s="27"/>
      <c r="C1483" s="27"/>
      <c r="D1483" s="27"/>
      <c r="E1483" s="27"/>
      <c r="F1483" s="27"/>
      <c r="G1483" s="28"/>
      <c r="H1483" s="28"/>
      <c r="I1483" s="28"/>
      <c r="J1483" s="28"/>
      <c r="K1483" s="28"/>
      <c r="L1483" s="28"/>
      <c r="M1483" s="28"/>
      <c r="N1483" s="151"/>
      <c r="O1483" s="16"/>
      <c r="P1483" s="114"/>
      <c r="Q1483" s="114"/>
      <c r="R1483" s="114"/>
      <c r="S1483" s="114"/>
      <c r="T1483" s="114"/>
      <c r="U1483" s="114"/>
      <c r="V1483" s="114"/>
      <c r="W1483" s="114"/>
      <c r="X1483" s="114"/>
      <c r="Y1483" s="114"/>
      <c r="Z1483" s="114"/>
    </row>
    <row r="1484" spans="1:26" s="9" customFormat="1" ht="15.75">
      <c r="A1484" s="66" t="s">
        <v>808</v>
      </c>
      <c r="B1484" s="18"/>
      <c r="C1484" s="18"/>
      <c r="D1484" s="18"/>
      <c r="E1484" s="18"/>
      <c r="F1484" s="18"/>
      <c r="G1484" s="18"/>
      <c r="H1484" s="18"/>
      <c r="I1484" s="18"/>
      <c r="J1484" s="18"/>
      <c r="K1484" s="18"/>
      <c r="L1484" s="18"/>
      <c r="M1484" s="18"/>
      <c r="N1484" s="149"/>
      <c r="O1484" s="19"/>
      <c r="P1484" s="114"/>
      <c r="Q1484" s="114"/>
      <c r="R1484" s="114"/>
      <c r="S1484" s="114"/>
      <c r="T1484" s="114"/>
      <c r="U1484" s="114"/>
      <c r="V1484" s="114"/>
      <c r="W1484" s="114"/>
      <c r="X1484" s="114"/>
      <c r="Y1484" s="114"/>
      <c r="Z1484" s="114"/>
    </row>
    <row r="1485" spans="1:26" s="9" customFormat="1" ht="15.75">
      <c r="A1485" s="37" t="s">
        <v>166</v>
      </c>
      <c r="B1485" s="21">
        <v>0</v>
      </c>
      <c r="C1485" s="21">
        <v>0</v>
      </c>
      <c r="D1485" s="21">
        <v>0</v>
      </c>
      <c r="E1485" s="21">
        <v>0</v>
      </c>
      <c r="F1485" s="21">
        <v>0</v>
      </c>
      <c r="G1485" s="21">
        <v>0</v>
      </c>
      <c r="H1485" s="21">
        <v>0</v>
      </c>
      <c r="I1485" s="21">
        <v>0</v>
      </c>
      <c r="J1485" s="21">
        <v>0</v>
      </c>
      <c r="K1485" s="21">
        <v>0</v>
      </c>
      <c r="L1485" s="21">
        <v>0</v>
      </c>
      <c r="M1485" s="21">
        <v>0</v>
      </c>
      <c r="N1485" s="150">
        <f>SUM(B1485:M1485)</f>
        <v>0</v>
      </c>
      <c r="O1485" s="22">
        <f>IF(N1485=0,0,AVERAGE(B1485:M1485))</f>
        <v>0</v>
      </c>
      <c r="P1485" s="114"/>
      <c r="Q1485" s="114"/>
      <c r="R1485" s="114"/>
      <c r="S1485" s="114"/>
      <c r="T1485" s="114"/>
      <c r="U1485" s="114"/>
      <c r="V1485" s="114"/>
      <c r="W1485" s="114"/>
      <c r="X1485" s="114"/>
      <c r="Y1485" s="114"/>
      <c r="Z1485" s="114"/>
    </row>
    <row r="1486" spans="1:26" s="9" customFormat="1" ht="15.75">
      <c r="A1486" s="62" t="s">
        <v>21</v>
      </c>
      <c r="B1486" s="24">
        <v>0</v>
      </c>
      <c r="C1486" s="24">
        <v>0</v>
      </c>
      <c r="D1486" s="24">
        <v>0</v>
      </c>
      <c r="E1486" s="24">
        <v>0</v>
      </c>
      <c r="F1486" s="24">
        <v>0</v>
      </c>
      <c r="G1486" s="24">
        <v>0</v>
      </c>
      <c r="H1486" s="24">
        <v>0</v>
      </c>
      <c r="I1486" s="24">
        <v>0</v>
      </c>
      <c r="J1486" s="24">
        <v>0</v>
      </c>
      <c r="K1486" s="24">
        <v>0</v>
      </c>
      <c r="L1486" s="24">
        <v>0</v>
      </c>
      <c r="M1486" s="24">
        <v>0</v>
      </c>
      <c r="N1486" s="144">
        <f>SUM(N1485)</f>
        <v>0</v>
      </c>
      <c r="O1486" s="25">
        <f>SUM(O1485)</f>
        <v>0</v>
      </c>
      <c r="P1486" s="114"/>
      <c r="Q1486" s="114"/>
      <c r="R1486" s="114"/>
      <c r="S1486" s="114"/>
      <c r="T1486" s="114"/>
      <c r="U1486" s="114"/>
      <c r="V1486" s="114"/>
      <c r="W1486" s="114"/>
      <c r="X1486" s="114"/>
      <c r="Y1486" s="114"/>
      <c r="Z1486" s="114"/>
    </row>
    <row r="1487" spans="1:26" s="9" customFormat="1" ht="15.75">
      <c r="A1487" s="62" t="s">
        <v>112</v>
      </c>
      <c r="B1487" s="24">
        <f t="shared" ref="B1487:G1487" si="2224">IF(B1486="","",B1486/B1870)</f>
        <v>0</v>
      </c>
      <c r="C1487" s="24">
        <f t="shared" si="2224"/>
        <v>0</v>
      </c>
      <c r="D1487" s="24">
        <f t="shared" si="2224"/>
        <v>0</v>
      </c>
      <c r="E1487" s="24">
        <f t="shared" si="2224"/>
        <v>0</v>
      </c>
      <c r="F1487" s="24">
        <f t="shared" si="2224"/>
        <v>0</v>
      </c>
      <c r="G1487" s="24">
        <f t="shared" si="2224"/>
        <v>0</v>
      </c>
      <c r="H1487" s="24">
        <f t="shared" ref="H1487:K1487" si="2225">IF(H1486="","",H1486/H1870)</f>
        <v>0</v>
      </c>
      <c r="I1487" s="24">
        <f t="shared" si="2225"/>
        <v>0</v>
      </c>
      <c r="J1487" s="24">
        <f t="shared" si="2225"/>
        <v>0</v>
      </c>
      <c r="K1487" s="24">
        <f t="shared" si="2225"/>
        <v>0</v>
      </c>
      <c r="L1487" s="24">
        <f t="shared" ref="L1487:M1487" si="2226">IF(L1486="","",L1486/L1870)</f>
        <v>0</v>
      </c>
      <c r="M1487" s="24">
        <f t="shared" si="2226"/>
        <v>0</v>
      </c>
      <c r="N1487" s="144">
        <f>SUM(B1487:M1487)</f>
        <v>0</v>
      </c>
      <c r="O1487" s="25">
        <f>IF(N1487=0,0,AVERAGE(B1487:M1487))</f>
        <v>0</v>
      </c>
      <c r="P1487" s="114"/>
      <c r="Q1487" s="114"/>
      <c r="R1487" s="114"/>
      <c r="S1487" s="114"/>
      <c r="T1487" s="114"/>
      <c r="U1487" s="114"/>
      <c r="V1487" s="114"/>
      <c r="W1487" s="114"/>
      <c r="X1487" s="114"/>
      <c r="Y1487" s="114"/>
      <c r="Z1487" s="114"/>
    </row>
    <row r="1488" spans="1:26" s="9" customFormat="1">
      <c r="A1488" s="26"/>
      <c r="B1488" s="27"/>
      <c r="C1488" s="27"/>
      <c r="D1488" s="27"/>
      <c r="E1488" s="27"/>
      <c r="F1488" s="27"/>
      <c r="G1488" s="28"/>
      <c r="H1488" s="28"/>
      <c r="I1488" s="28"/>
      <c r="J1488" s="28"/>
      <c r="K1488" s="28"/>
      <c r="L1488" s="28"/>
      <c r="M1488" s="28"/>
      <c r="N1488" s="151"/>
      <c r="O1488" s="16"/>
      <c r="P1488" s="114"/>
      <c r="Q1488" s="114"/>
      <c r="R1488" s="114"/>
      <c r="S1488" s="114"/>
      <c r="T1488" s="114"/>
      <c r="U1488" s="114"/>
      <c r="V1488" s="114"/>
      <c r="W1488" s="114"/>
      <c r="X1488" s="114"/>
      <c r="Y1488" s="114"/>
      <c r="Z1488" s="114"/>
    </row>
    <row r="1489" spans="1:15" s="9" customFormat="1" ht="15.75">
      <c r="A1489" s="91" t="s">
        <v>170</v>
      </c>
      <c r="B1489" s="92">
        <f t="shared" ref="B1489:G1489" si="2227">B1459+B1481</f>
        <v>1501</v>
      </c>
      <c r="C1489" s="92">
        <f t="shared" si="2227"/>
        <v>1665</v>
      </c>
      <c r="D1489" s="92">
        <f t="shared" si="2227"/>
        <v>1599</v>
      </c>
      <c r="E1489" s="92">
        <f t="shared" si="2227"/>
        <v>1688</v>
      </c>
      <c r="F1489" s="92">
        <f t="shared" si="2227"/>
        <v>1583</v>
      </c>
      <c r="G1489" s="92">
        <f t="shared" si="2227"/>
        <v>1509</v>
      </c>
      <c r="H1489" s="92">
        <f t="shared" ref="H1489:I1489" si="2228">H1459+H1481</f>
        <v>1444</v>
      </c>
      <c r="I1489" s="92">
        <f t="shared" si="2228"/>
        <v>1581</v>
      </c>
      <c r="J1489" s="92">
        <f t="shared" ref="J1489:K1489" si="2229">J1459+J1481</f>
        <v>1800</v>
      </c>
      <c r="K1489" s="92">
        <f t="shared" si="2229"/>
        <v>1735</v>
      </c>
      <c r="L1489" s="92">
        <f t="shared" ref="L1489:M1489" si="2230">L1459+L1481</f>
        <v>1560</v>
      </c>
      <c r="M1489" s="92">
        <f t="shared" si="2230"/>
        <v>1549</v>
      </c>
      <c r="N1489" s="150">
        <f>N1459+N1481</f>
        <v>19214</v>
      </c>
      <c r="O1489" s="22">
        <f>O1459+O1481</f>
        <v>1601.1666666666667</v>
      </c>
    </row>
    <row r="1490" spans="1:15" s="9" customFormat="1" ht="15.75">
      <c r="A1490" s="91" t="s">
        <v>171</v>
      </c>
      <c r="B1490" s="92">
        <f t="shared" ref="B1490:C1490" si="2231">B1486</f>
        <v>0</v>
      </c>
      <c r="C1490" s="92">
        <f t="shared" si="2231"/>
        <v>0</v>
      </c>
      <c r="D1490" s="92">
        <f t="shared" ref="D1490:E1490" si="2232">D1486</f>
        <v>0</v>
      </c>
      <c r="E1490" s="92">
        <f t="shared" si="2232"/>
        <v>0</v>
      </c>
      <c r="F1490" s="92">
        <f t="shared" ref="F1490:G1490" si="2233">F1486</f>
        <v>0</v>
      </c>
      <c r="G1490" s="92">
        <f t="shared" si="2233"/>
        <v>0</v>
      </c>
      <c r="H1490" s="92">
        <f t="shared" ref="H1490:I1490" si="2234">H1486</f>
        <v>0</v>
      </c>
      <c r="I1490" s="92">
        <f t="shared" si="2234"/>
        <v>0</v>
      </c>
      <c r="J1490" s="92">
        <f t="shared" ref="J1490:K1490" si="2235">J1486</f>
        <v>0</v>
      </c>
      <c r="K1490" s="92">
        <f t="shared" si="2235"/>
        <v>0</v>
      </c>
      <c r="L1490" s="92">
        <f t="shared" ref="L1490:M1490" si="2236">L1486</f>
        <v>0</v>
      </c>
      <c r="M1490" s="92">
        <f t="shared" si="2236"/>
        <v>0</v>
      </c>
      <c r="N1490" s="150">
        <f>N1486</f>
        <v>0</v>
      </c>
      <c r="O1490" s="22">
        <f>O1486</f>
        <v>0</v>
      </c>
    </row>
    <row r="1491" spans="1:15" s="9" customFormat="1" ht="15.75">
      <c r="A1491" s="381" t="s">
        <v>172</v>
      </c>
      <c r="B1491" s="372">
        <f t="shared" ref="B1491:C1491" si="2237">SUM(B1489:B1490)</f>
        <v>1501</v>
      </c>
      <c r="C1491" s="372">
        <f t="shared" si="2237"/>
        <v>1665</v>
      </c>
      <c r="D1491" s="372">
        <f t="shared" ref="D1491:E1491" si="2238">SUM(D1489:D1490)</f>
        <v>1599</v>
      </c>
      <c r="E1491" s="372">
        <f t="shared" si="2238"/>
        <v>1688</v>
      </c>
      <c r="F1491" s="372">
        <f t="shared" ref="F1491:G1491" si="2239">SUM(F1489:F1490)</f>
        <v>1583</v>
      </c>
      <c r="G1491" s="372">
        <f t="shared" si="2239"/>
        <v>1509</v>
      </c>
      <c r="H1491" s="372">
        <f t="shared" ref="H1491:I1491" si="2240">SUM(H1489:H1490)</f>
        <v>1444</v>
      </c>
      <c r="I1491" s="372">
        <f t="shared" si="2240"/>
        <v>1581</v>
      </c>
      <c r="J1491" s="372">
        <f t="shared" ref="J1491:K1491" si="2241">SUM(J1489:J1490)</f>
        <v>1800</v>
      </c>
      <c r="K1491" s="372">
        <f t="shared" si="2241"/>
        <v>1735</v>
      </c>
      <c r="L1491" s="372">
        <f t="shared" ref="L1491:M1491" si="2242">SUM(L1489:L1490)</f>
        <v>1560</v>
      </c>
      <c r="M1491" s="372">
        <f t="shared" si="2242"/>
        <v>1549</v>
      </c>
      <c r="N1491" s="373">
        <f>SUM(N1489:N1490)</f>
        <v>19214</v>
      </c>
      <c r="O1491" s="374">
        <f>SUM(O1489:O1490)</f>
        <v>1601.1666666666667</v>
      </c>
    </row>
    <row r="1492" spans="1:15" s="9" customFormat="1">
      <c r="A1492" s="86"/>
      <c r="B1492" s="110"/>
      <c r="C1492" s="110"/>
      <c r="D1492" s="110"/>
      <c r="E1492" s="110"/>
      <c r="F1492" s="110"/>
      <c r="G1492" s="110"/>
      <c r="H1492" s="110"/>
      <c r="I1492" s="110"/>
      <c r="J1492" s="110"/>
      <c r="K1492" s="110"/>
      <c r="L1492" s="110"/>
      <c r="M1492" s="110"/>
      <c r="N1492" s="170"/>
      <c r="O1492" s="111"/>
    </row>
    <row r="1493" spans="1:15" s="9" customFormat="1" ht="15.75">
      <c r="A1493" s="17" t="s">
        <v>627</v>
      </c>
      <c r="B1493" s="30"/>
      <c r="C1493" s="30"/>
      <c r="D1493" s="30"/>
      <c r="E1493" s="30"/>
      <c r="F1493" s="30"/>
      <c r="G1493" s="30"/>
      <c r="H1493" s="30"/>
      <c r="I1493" s="30"/>
      <c r="J1493" s="30"/>
      <c r="K1493" s="30"/>
      <c r="L1493" s="30"/>
      <c r="M1493" s="30"/>
      <c r="N1493" s="152"/>
      <c r="O1493" s="31"/>
    </row>
    <row r="1494" spans="1:15" s="9" customFormat="1" ht="15.75">
      <c r="A1494" s="66" t="s">
        <v>628</v>
      </c>
      <c r="B1494" s="81"/>
      <c r="C1494" s="81"/>
      <c r="D1494" s="81"/>
      <c r="E1494" s="81"/>
      <c r="F1494" s="81"/>
      <c r="G1494" s="81"/>
      <c r="H1494" s="81"/>
      <c r="I1494" s="81"/>
      <c r="J1494" s="81"/>
      <c r="K1494" s="81"/>
      <c r="L1494" s="81"/>
      <c r="M1494" s="81"/>
      <c r="N1494" s="165"/>
      <c r="O1494" s="82"/>
    </row>
    <row r="1495" spans="1:15" s="9" customFormat="1" ht="15.75">
      <c r="A1495" s="20" t="s">
        <v>18</v>
      </c>
      <c r="B1495" s="21">
        <v>7</v>
      </c>
      <c r="C1495" s="21">
        <v>0</v>
      </c>
      <c r="D1495" s="21">
        <v>0</v>
      </c>
      <c r="E1495" s="21">
        <v>2</v>
      </c>
      <c r="F1495" s="21">
        <v>2</v>
      </c>
      <c r="G1495" s="21">
        <v>4</v>
      </c>
      <c r="H1495" s="21">
        <v>9</v>
      </c>
      <c r="I1495" s="21">
        <v>3</v>
      </c>
      <c r="J1495" s="87">
        <v>3</v>
      </c>
      <c r="K1495" s="21">
        <v>5</v>
      </c>
      <c r="L1495" s="21">
        <v>2</v>
      </c>
      <c r="M1495" s="21">
        <v>2</v>
      </c>
      <c r="N1495" s="150">
        <f>SUM(B1495:M1495)</f>
        <v>39</v>
      </c>
      <c r="O1495" s="22">
        <f>IF(N1495=0,0,AVERAGE(B1495:M1495))</f>
        <v>3.25</v>
      </c>
    </row>
    <row r="1496" spans="1:15" s="9" customFormat="1" ht="15.75">
      <c r="A1496" s="20" t="s">
        <v>19</v>
      </c>
      <c r="B1496" s="21">
        <v>46</v>
      </c>
      <c r="C1496" s="21">
        <v>32</v>
      </c>
      <c r="D1496" s="21">
        <v>11</v>
      </c>
      <c r="E1496" s="21">
        <v>11</v>
      </c>
      <c r="F1496" s="21">
        <v>44</v>
      </c>
      <c r="G1496" s="21">
        <v>23</v>
      </c>
      <c r="H1496" s="21">
        <v>24</v>
      </c>
      <c r="I1496" s="21">
        <v>21</v>
      </c>
      <c r="J1496" s="87">
        <v>47</v>
      </c>
      <c r="K1496" s="21">
        <v>9</v>
      </c>
      <c r="L1496" s="21">
        <v>6</v>
      </c>
      <c r="M1496" s="21">
        <v>11</v>
      </c>
      <c r="N1496" s="150">
        <f>SUM(B1496:M1496)</f>
        <v>285</v>
      </c>
      <c r="O1496" s="22">
        <f>IF(N1496=0,0,AVERAGE(B1496:M1496))</f>
        <v>23.75</v>
      </c>
    </row>
    <row r="1497" spans="1:15" s="9" customFormat="1" ht="15.75">
      <c r="A1497" s="20" t="s">
        <v>20</v>
      </c>
      <c r="B1497" s="21">
        <v>42</v>
      </c>
      <c r="C1497" s="21">
        <v>35</v>
      </c>
      <c r="D1497" s="21">
        <v>25</v>
      </c>
      <c r="E1497" s="21">
        <v>14</v>
      </c>
      <c r="F1497" s="21">
        <v>25</v>
      </c>
      <c r="G1497" s="21">
        <v>48</v>
      </c>
      <c r="H1497" s="21">
        <v>19</v>
      </c>
      <c r="I1497" s="21">
        <v>60</v>
      </c>
      <c r="J1497" s="87">
        <v>48</v>
      </c>
      <c r="K1497" s="21">
        <v>20</v>
      </c>
      <c r="L1497" s="21">
        <v>5</v>
      </c>
      <c r="M1497" s="21">
        <v>4</v>
      </c>
      <c r="N1497" s="150">
        <f>SUM(B1497:M1497)</f>
        <v>345</v>
      </c>
      <c r="O1497" s="22">
        <f>IF(N1497=0,0,AVERAGE(B1497:M1497))</f>
        <v>28.75</v>
      </c>
    </row>
    <row r="1498" spans="1:15" s="9" customFormat="1" ht="15.75">
      <c r="A1498" s="32" t="s">
        <v>119</v>
      </c>
      <c r="B1498" s="21">
        <v>10</v>
      </c>
      <c r="C1498" s="21">
        <v>4</v>
      </c>
      <c r="D1498" s="21">
        <v>4</v>
      </c>
      <c r="E1498" s="21">
        <v>6</v>
      </c>
      <c r="F1498" s="21">
        <v>8</v>
      </c>
      <c r="G1498" s="21">
        <v>7</v>
      </c>
      <c r="H1498" s="21">
        <v>4</v>
      </c>
      <c r="I1498" s="21">
        <v>5</v>
      </c>
      <c r="J1498" s="87">
        <v>10</v>
      </c>
      <c r="K1498" s="21">
        <v>2</v>
      </c>
      <c r="L1498" s="21">
        <v>0</v>
      </c>
      <c r="M1498" s="21">
        <v>8</v>
      </c>
      <c r="N1498" s="150">
        <f>SUM(B1498:M1498)</f>
        <v>68</v>
      </c>
      <c r="O1498" s="22">
        <f>IF(N1498=0,0,AVERAGE(B1498:M1498))</f>
        <v>5.666666666666667</v>
      </c>
    </row>
    <row r="1499" spans="1:15" s="9" customFormat="1" ht="15.75">
      <c r="A1499" s="23" t="s">
        <v>21</v>
      </c>
      <c r="B1499" s="24">
        <f t="shared" ref="B1499:C1499" si="2243">SUM(B1495:B1498)</f>
        <v>105</v>
      </c>
      <c r="C1499" s="24">
        <f t="shared" si="2243"/>
        <v>71</v>
      </c>
      <c r="D1499" s="24">
        <f t="shared" ref="D1499:E1499" si="2244">SUM(D1495:D1498)</f>
        <v>40</v>
      </c>
      <c r="E1499" s="24">
        <f t="shared" si="2244"/>
        <v>33</v>
      </c>
      <c r="F1499" s="24">
        <f t="shared" ref="F1499:G1499" si="2245">SUM(F1495:F1498)</f>
        <v>79</v>
      </c>
      <c r="G1499" s="24">
        <f t="shared" si="2245"/>
        <v>82</v>
      </c>
      <c r="H1499" s="24">
        <f t="shared" ref="H1499:I1499" si="2246">SUM(H1495:H1498)</f>
        <v>56</v>
      </c>
      <c r="I1499" s="24">
        <f t="shared" si="2246"/>
        <v>89</v>
      </c>
      <c r="J1499" s="24">
        <f t="shared" ref="J1499:M1499" si="2247">SUM(J1495:J1498)</f>
        <v>108</v>
      </c>
      <c r="K1499" s="24">
        <f t="shared" si="2247"/>
        <v>36</v>
      </c>
      <c r="L1499" s="24">
        <f t="shared" si="2247"/>
        <v>13</v>
      </c>
      <c r="M1499" s="24">
        <f t="shared" si="2247"/>
        <v>25</v>
      </c>
      <c r="N1499" s="144">
        <f>SUM(N1495:N1498)</f>
        <v>737</v>
      </c>
      <c r="O1499" s="25">
        <f>SUM(O1495:O1498)</f>
        <v>61.416666666666664</v>
      </c>
    </row>
    <row r="1500" spans="1:15" s="9" customFormat="1" ht="15.75">
      <c r="A1500" s="23" t="s">
        <v>112</v>
      </c>
      <c r="B1500" s="25">
        <f t="shared" ref="B1500:G1500" si="2248">IF(B1499=0,"",B1499/B$1870)</f>
        <v>3.3870967741935485</v>
      </c>
      <c r="C1500" s="25">
        <f t="shared" si="2248"/>
        <v>2.5357142857142856</v>
      </c>
      <c r="D1500" s="25">
        <f t="shared" si="2248"/>
        <v>1.2903225806451613</v>
      </c>
      <c r="E1500" s="25">
        <f t="shared" si="2248"/>
        <v>1.1000000000000001</v>
      </c>
      <c r="F1500" s="25">
        <f t="shared" si="2248"/>
        <v>2.5483870967741935</v>
      </c>
      <c r="G1500" s="25">
        <f t="shared" si="2248"/>
        <v>2.7333333333333334</v>
      </c>
      <c r="H1500" s="25">
        <f t="shared" ref="H1500:I1500" si="2249">IF(H1499=0,"",H1499/H$1870)</f>
        <v>1.8064516129032258</v>
      </c>
      <c r="I1500" s="25">
        <f t="shared" si="2249"/>
        <v>2.870967741935484</v>
      </c>
      <c r="J1500" s="25">
        <f t="shared" ref="J1500:L1500" si="2250">IF(J1499=0,"",J1499/J$1870)</f>
        <v>3.6</v>
      </c>
      <c r="K1500" s="25">
        <f t="shared" si="2250"/>
        <v>1.1612903225806452</v>
      </c>
      <c r="L1500" s="25">
        <f t="shared" si="2250"/>
        <v>0.43333333333333335</v>
      </c>
      <c r="M1500" s="25">
        <f t="shared" ref="M1500" si="2251">IF(M1499=0,"",M1499/M$1870)</f>
        <v>0.80645161290322576</v>
      </c>
      <c r="N1500" s="144">
        <f>SUM(B1500:M1500)</f>
        <v>24.273348694316439</v>
      </c>
      <c r="O1500" s="25">
        <f>IF(N1500=0,0,AVERAGE(B1500:M1500))</f>
        <v>2.0227790578597031</v>
      </c>
    </row>
    <row r="1501" spans="1:15" s="9" customFormat="1">
      <c r="A1501" s="33"/>
      <c r="B1501" s="34"/>
      <c r="C1501" s="34"/>
      <c r="D1501" s="34"/>
      <c r="E1501" s="34"/>
      <c r="F1501" s="34"/>
      <c r="G1501" s="34"/>
      <c r="H1501" s="34"/>
      <c r="I1501" s="35"/>
      <c r="J1501" s="35"/>
      <c r="K1501" s="35"/>
      <c r="L1501" s="35"/>
      <c r="M1501" s="35"/>
      <c r="N1501" s="153"/>
      <c r="O1501" s="317"/>
    </row>
    <row r="1502" spans="1:15" s="9" customFormat="1" ht="15.75">
      <c r="A1502" s="46" t="s">
        <v>655</v>
      </c>
      <c r="B1502" s="81"/>
      <c r="C1502" s="81"/>
      <c r="D1502" s="81"/>
      <c r="E1502" s="81"/>
      <c r="F1502" s="81"/>
      <c r="G1502" s="81"/>
      <c r="H1502" s="81"/>
      <c r="I1502" s="81"/>
      <c r="J1502" s="81"/>
      <c r="K1502" s="81"/>
      <c r="L1502" s="81"/>
      <c r="M1502" s="81"/>
      <c r="N1502" s="165"/>
      <c r="O1502" s="82"/>
    </row>
    <row r="1503" spans="1:15" s="9" customFormat="1" ht="15.75">
      <c r="A1503" s="316" t="s">
        <v>656</v>
      </c>
      <c r="B1503" s="319">
        <v>0</v>
      </c>
      <c r="C1503" s="319">
        <v>0</v>
      </c>
      <c r="D1503" s="319">
        <v>0</v>
      </c>
      <c r="E1503" s="319">
        <v>0</v>
      </c>
      <c r="F1503" s="319">
        <v>0</v>
      </c>
      <c r="G1503" s="319">
        <v>0</v>
      </c>
      <c r="H1503" s="319">
        <v>0</v>
      </c>
      <c r="I1503" s="319">
        <v>0</v>
      </c>
      <c r="J1503" s="319">
        <v>0</v>
      </c>
      <c r="K1503" s="319">
        <v>0</v>
      </c>
      <c r="L1503" s="319">
        <v>0</v>
      </c>
      <c r="M1503" s="319">
        <v>0</v>
      </c>
      <c r="N1503" s="150">
        <f>SUM(B1503:M1503)</f>
        <v>0</v>
      </c>
      <c r="O1503" s="22">
        <f>IF(N1503=0,0,AVERAGE(B1503:M1503))</f>
        <v>0</v>
      </c>
    </row>
    <row r="1504" spans="1:15" s="9" customFormat="1" ht="15.75">
      <c r="A1504" s="316" t="s">
        <v>657</v>
      </c>
      <c r="B1504" s="319">
        <v>0</v>
      </c>
      <c r="C1504" s="319">
        <v>0</v>
      </c>
      <c r="D1504" s="319">
        <v>0</v>
      </c>
      <c r="E1504" s="319">
        <v>0</v>
      </c>
      <c r="F1504" s="319">
        <v>0</v>
      </c>
      <c r="G1504" s="319">
        <v>0</v>
      </c>
      <c r="H1504" s="319">
        <v>0</v>
      </c>
      <c r="I1504" s="319">
        <v>0</v>
      </c>
      <c r="J1504" s="319">
        <v>0</v>
      </c>
      <c r="K1504" s="319">
        <v>0</v>
      </c>
      <c r="L1504" s="319">
        <v>0</v>
      </c>
      <c r="M1504" s="319">
        <v>0</v>
      </c>
      <c r="N1504" s="150">
        <f>SUM(B1504:M1504)</f>
        <v>0</v>
      </c>
      <c r="O1504" s="22">
        <f>IF(N1504=0,0,AVERAGE(B1504:M1504))</f>
        <v>0</v>
      </c>
    </row>
    <row r="1505" spans="1:15" s="9" customFormat="1">
      <c r="A1505" s="56"/>
      <c r="B1505" s="54"/>
      <c r="C1505" s="54"/>
      <c r="D1505" s="54"/>
      <c r="E1505" s="54"/>
      <c r="F1505" s="54"/>
      <c r="G1505" s="54"/>
      <c r="H1505" s="54"/>
      <c r="I1505" s="54"/>
      <c r="J1505" s="54"/>
      <c r="K1505" s="54"/>
      <c r="L1505" s="54"/>
      <c r="M1505" s="54"/>
      <c r="N1505" s="158"/>
      <c r="O1505" s="318"/>
    </row>
    <row r="1506" spans="1:15" s="9" customFormat="1" ht="15.75">
      <c r="A1506" s="388" t="s">
        <v>156</v>
      </c>
      <c r="B1506" s="372">
        <f t="shared" ref="B1506:C1506" si="2252">B1499</f>
        <v>105</v>
      </c>
      <c r="C1506" s="372">
        <f t="shared" si="2252"/>
        <v>71</v>
      </c>
      <c r="D1506" s="372">
        <f t="shared" ref="D1506:E1506" si="2253">D1499</f>
        <v>40</v>
      </c>
      <c r="E1506" s="372">
        <f t="shared" si="2253"/>
        <v>33</v>
      </c>
      <c r="F1506" s="372">
        <f t="shared" ref="F1506:G1506" si="2254">F1499</f>
        <v>79</v>
      </c>
      <c r="G1506" s="372">
        <f t="shared" si="2254"/>
        <v>82</v>
      </c>
      <c r="H1506" s="372">
        <f t="shared" ref="H1506:I1506" si="2255">H1499</f>
        <v>56</v>
      </c>
      <c r="I1506" s="372">
        <f t="shared" si="2255"/>
        <v>89</v>
      </c>
      <c r="J1506" s="372">
        <f t="shared" ref="J1506:K1506" si="2256">J1499</f>
        <v>108</v>
      </c>
      <c r="K1506" s="372">
        <f t="shared" si="2256"/>
        <v>36</v>
      </c>
      <c r="L1506" s="372">
        <f t="shared" ref="L1506:M1506" si="2257">L1499</f>
        <v>13</v>
      </c>
      <c r="M1506" s="372">
        <f t="shared" si="2257"/>
        <v>25</v>
      </c>
      <c r="N1506" s="373">
        <f>SUM(B1506:M1506)</f>
        <v>737</v>
      </c>
      <c r="O1506" s="374">
        <f>O1499</f>
        <v>61.416666666666664</v>
      </c>
    </row>
    <row r="1507" spans="1:15" s="9" customFormat="1" ht="15.75">
      <c r="A1507" s="23" t="s">
        <v>112</v>
      </c>
      <c r="B1507" s="25">
        <f t="shared" ref="B1507:G1507" si="2258">IF(B1506=0,"",B1506/B$1870)</f>
        <v>3.3870967741935485</v>
      </c>
      <c r="C1507" s="25">
        <f t="shared" si="2258"/>
        <v>2.5357142857142856</v>
      </c>
      <c r="D1507" s="25">
        <f t="shared" si="2258"/>
        <v>1.2903225806451613</v>
      </c>
      <c r="E1507" s="25">
        <f t="shared" si="2258"/>
        <v>1.1000000000000001</v>
      </c>
      <c r="F1507" s="25">
        <f t="shared" si="2258"/>
        <v>2.5483870967741935</v>
      </c>
      <c r="G1507" s="25">
        <f t="shared" si="2258"/>
        <v>2.7333333333333334</v>
      </c>
      <c r="H1507" s="25">
        <f t="shared" ref="H1507:I1507" si="2259">IF(H1506=0,"",H1506/H$1870)</f>
        <v>1.8064516129032258</v>
      </c>
      <c r="I1507" s="25">
        <f t="shared" si="2259"/>
        <v>2.870967741935484</v>
      </c>
      <c r="J1507" s="25">
        <f t="shared" ref="J1507:K1507" si="2260">IF(J1506=0,"",J1506/J$1870)</f>
        <v>3.6</v>
      </c>
      <c r="K1507" s="25">
        <f t="shared" si="2260"/>
        <v>1.1612903225806452</v>
      </c>
      <c r="L1507" s="25">
        <f t="shared" ref="L1507:M1507" si="2261">IF(L1506=0,"",L1506/L$1870)</f>
        <v>0.43333333333333335</v>
      </c>
      <c r="M1507" s="25">
        <f t="shared" si="2261"/>
        <v>0.80645161290322576</v>
      </c>
      <c r="N1507" s="144">
        <f>SUM(B1507:M1507)</f>
        <v>24.273348694316439</v>
      </c>
      <c r="O1507" s="25">
        <f>IF(N1507=0,0,AVERAGE(B1507:M1507))</f>
        <v>2.0227790578597031</v>
      </c>
    </row>
    <row r="1508" spans="1:15" s="9" customFormat="1">
      <c r="A1508" s="26"/>
      <c r="B1508" s="27"/>
      <c r="C1508" s="27"/>
      <c r="D1508" s="27"/>
      <c r="E1508" s="28"/>
      <c r="F1508" s="28"/>
      <c r="G1508" s="28"/>
      <c r="H1508" s="28"/>
      <c r="I1508" s="28"/>
      <c r="J1508" s="28"/>
      <c r="K1508" s="28"/>
      <c r="L1508" s="28"/>
      <c r="M1508" s="28"/>
      <c r="N1508" s="151"/>
      <c r="O1508" s="16"/>
    </row>
    <row r="1509" spans="1:15" s="9" customFormat="1" ht="15.75">
      <c r="A1509" s="17" t="s">
        <v>629</v>
      </c>
      <c r="B1509" s="30"/>
      <c r="C1509" s="30"/>
      <c r="D1509" s="30"/>
      <c r="E1509" s="30"/>
      <c r="F1509" s="30"/>
      <c r="G1509" s="30"/>
      <c r="H1509" s="30"/>
      <c r="I1509" s="30"/>
      <c r="J1509" s="30"/>
      <c r="K1509" s="30"/>
      <c r="L1509" s="30"/>
      <c r="M1509" s="30"/>
      <c r="N1509" s="152"/>
      <c r="O1509" s="31"/>
    </row>
    <row r="1510" spans="1:15" s="9" customFormat="1" ht="15.75">
      <c r="A1510" s="66" t="s">
        <v>630</v>
      </c>
      <c r="B1510" s="81"/>
      <c r="C1510" s="81"/>
      <c r="D1510" s="81"/>
      <c r="E1510" s="81"/>
      <c r="F1510" s="81"/>
      <c r="G1510" s="81"/>
      <c r="H1510" s="81"/>
      <c r="I1510" s="81"/>
      <c r="J1510" s="81"/>
      <c r="K1510" s="81"/>
      <c r="L1510" s="81"/>
      <c r="M1510" s="81"/>
      <c r="N1510" s="165"/>
      <c r="O1510" s="82"/>
    </row>
    <row r="1511" spans="1:15" s="217" customFormat="1" ht="15.75">
      <c r="A1511" s="32" t="s">
        <v>119</v>
      </c>
      <c r="B1511" s="21">
        <v>0</v>
      </c>
      <c r="C1511" s="21">
        <v>0</v>
      </c>
      <c r="D1511" s="21">
        <v>0</v>
      </c>
      <c r="E1511" s="21">
        <v>0</v>
      </c>
      <c r="F1511" s="21">
        <v>0</v>
      </c>
      <c r="G1511" s="21">
        <v>0</v>
      </c>
      <c r="H1511" s="21">
        <v>0</v>
      </c>
      <c r="I1511" s="21">
        <v>0</v>
      </c>
      <c r="J1511" s="87">
        <v>0</v>
      </c>
      <c r="K1511" s="87">
        <v>0</v>
      </c>
      <c r="L1511" s="87">
        <v>0</v>
      </c>
      <c r="M1511" s="87">
        <v>0</v>
      </c>
      <c r="N1511" s="150">
        <f>SUM(B1511:M1511)</f>
        <v>0</v>
      </c>
      <c r="O1511" s="22">
        <f>IF(N1511=0,0,AVERAGE(B1511:M1511))</f>
        <v>0</v>
      </c>
    </row>
    <row r="1512" spans="1:15" s="9" customFormat="1" ht="15.75">
      <c r="A1512" s="20" t="s">
        <v>18</v>
      </c>
      <c r="B1512" s="21">
        <v>0</v>
      </c>
      <c r="C1512" s="21">
        <v>0</v>
      </c>
      <c r="D1512" s="21">
        <v>0</v>
      </c>
      <c r="E1512" s="21">
        <v>0</v>
      </c>
      <c r="F1512" s="21">
        <v>0</v>
      </c>
      <c r="G1512" s="21">
        <v>0</v>
      </c>
      <c r="H1512" s="21">
        <v>0</v>
      </c>
      <c r="I1512" s="21">
        <v>0</v>
      </c>
      <c r="J1512" s="87">
        <v>0</v>
      </c>
      <c r="K1512" s="87">
        <v>0</v>
      </c>
      <c r="L1512" s="87">
        <v>0</v>
      </c>
      <c r="M1512" s="87">
        <v>0</v>
      </c>
      <c r="N1512" s="150">
        <f>SUM(B1512:M1512)</f>
        <v>0</v>
      </c>
      <c r="O1512" s="22">
        <f>IF(N1512=0,0,AVERAGE(B1512:M1512))</f>
        <v>0</v>
      </c>
    </row>
    <row r="1513" spans="1:15" s="9" customFormat="1" ht="15.75">
      <c r="A1513" s="20" t="s">
        <v>19</v>
      </c>
      <c r="B1513" s="21">
        <v>0</v>
      </c>
      <c r="C1513" s="21">
        <v>0</v>
      </c>
      <c r="D1513" s="21">
        <v>0</v>
      </c>
      <c r="E1513" s="21">
        <v>0</v>
      </c>
      <c r="F1513" s="21">
        <v>0</v>
      </c>
      <c r="G1513" s="21">
        <v>0</v>
      </c>
      <c r="H1513" s="21">
        <v>0</v>
      </c>
      <c r="I1513" s="21">
        <v>0</v>
      </c>
      <c r="J1513" s="87">
        <v>0</v>
      </c>
      <c r="K1513" s="87">
        <v>0</v>
      </c>
      <c r="L1513" s="87">
        <v>0</v>
      </c>
      <c r="M1513" s="87">
        <v>0</v>
      </c>
      <c r="N1513" s="150">
        <f>SUM(B1513:M1513)</f>
        <v>0</v>
      </c>
      <c r="O1513" s="22">
        <f>IF(N1513=0,0,AVERAGE(B1513:M1513))</f>
        <v>0</v>
      </c>
    </row>
    <row r="1514" spans="1:15" s="9" customFormat="1" ht="15.75">
      <c r="A1514" s="20" t="s">
        <v>20</v>
      </c>
      <c r="B1514" s="21">
        <v>54</v>
      </c>
      <c r="C1514" s="21">
        <v>45</v>
      </c>
      <c r="D1514" s="21">
        <v>45</v>
      </c>
      <c r="E1514" s="21">
        <v>35</v>
      </c>
      <c r="F1514" s="21">
        <v>44</v>
      </c>
      <c r="G1514" s="21">
        <v>27</v>
      </c>
      <c r="H1514" s="21">
        <v>27</v>
      </c>
      <c r="I1514" s="21">
        <v>31</v>
      </c>
      <c r="J1514" s="87">
        <v>49</v>
      </c>
      <c r="K1514" s="87">
        <v>22</v>
      </c>
      <c r="L1514" s="87">
        <v>18</v>
      </c>
      <c r="M1514" s="87">
        <v>17</v>
      </c>
      <c r="N1514" s="150">
        <f>SUM(B1514:M1514)</f>
        <v>414</v>
      </c>
      <c r="O1514" s="22">
        <f>IF(N1514=0,0,AVERAGE(B1514:M1514))</f>
        <v>34.5</v>
      </c>
    </row>
    <row r="1515" spans="1:15" s="9" customFormat="1" ht="15.75">
      <c r="A1515" s="23" t="s">
        <v>21</v>
      </c>
      <c r="B1515" s="24">
        <f t="shared" ref="B1515:G1515" si="2262">SUM(B1511:B1514)</f>
        <v>54</v>
      </c>
      <c r="C1515" s="24">
        <f t="shared" si="2262"/>
        <v>45</v>
      </c>
      <c r="D1515" s="24">
        <f t="shared" si="2262"/>
        <v>45</v>
      </c>
      <c r="E1515" s="24">
        <f t="shared" si="2262"/>
        <v>35</v>
      </c>
      <c r="F1515" s="24">
        <f t="shared" si="2262"/>
        <v>44</v>
      </c>
      <c r="G1515" s="24">
        <f t="shared" si="2262"/>
        <v>27</v>
      </c>
      <c r="H1515" s="24">
        <f t="shared" ref="H1515:I1515" si="2263">SUM(H1511:H1514)</f>
        <v>27</v>
      </c>
      <c r="I1515" s="24">
        <f t="shared" si="2263"/>
        <v>31</v>
      </c>
      <c r="J1515" s="24">
        <f t="shared" ref="J1515:K1515" si="2264">SUM(J1511:J1514)</f>
        <v>49</v>
      </c>
      <c r="K1515" s="24">
        <f t="shared" si="2264"/>
        <v>22</v>
      </c>
      <c r="L1515" s="24">
        <f t="shared" ref="L1515:M1515" si="2265">SUM(L1511:L1514)</f>
        <v>18</v>
      </c>
      <c r="M1515" s="24">
        <f t="shared" si="2265"/>
        <v>17</v>
      </c>
      <c r="N1515" s="144">
        <f>SUM(N1511:N1514)</f>
        <v>414</v>
      </c>
      <c r="O1515" s="25">
        <f>AVERAGE(B1515:M1515)</f>
        <v>34.5</v>
      </c>
    </row>
    <row r="1516" spans="1:15" s="9" customFormat="1" ht="15.75">
      <c r="A1516" s="23" t="s">
        <v>112</v>
      </c>
      <c r="B1516" s="25">
        <f t="shared" ref="B1516:G1516" si="2266">IF(B1515=0,"",B1515/B$1870)</f>
        <v>1.7419354838709677</v>
      </c>
      <c r="C1516" s="25">
        <f t="shared" si="2266"/>
        <v>1.6071428571428572</v>
      </c>
      <c r="D1516" s="25">
        <f t="shared" si="2266"/>
        <v>1.4516129032258065</v>
      </c>
      <c r="E1516" s="25">
        <f t="shared" si="2266"/>
        <v>1.1666666666666667</v>
      </c>
      <c r="F1516" s="25">
        <f t="shared" si="2266"/>
        <v>1.4193548387096775</v>
      </c>
      <c r="G1516" s="25">
        <f t="shared" si="2266"/>
        <v>0.9</v>
      </c>
      <c r="H1516" s="25">
        <f t="shared" ref="H1516:I1516" si="2267">IF(H1515=0,"",H1515/H$1870)</f>
        <v>0.87096774193548387</v>
      </c>
      <c r="I1516" s="25">
        <f t="shared" si="2267"/>
        <v>1</v>
      </c>
      <c r="J1516" s="25">
        <f t="shared" ref="J1516:K1516" si="2268">IF(J1515=0,"",J1515/J$1870)</f>
        <v>1.6333333333333333</v>
      </c>
      <c r="K1516" s="25">
        <f t="shared" si="2268"/>
        <v>0.70967741935483875</v>
      </c>
      <c r="L1516" s="25">
        <f t="shared" ref="L1516:M1516" si="2269">IF(L1515=0,"",L1515/L$1870)</f>
        <v>0.6</v>
      </c>
      <c r="M1516" s="25">
        <f t="shared" si="2269"/>
        <v>0.54838709677419351</v>
      </c>
      <c r="N1516" s="144">
        <f>SUM(B1516:M1516)</f>
        <v>13.649078341013825</v>
      </c>
      <c r="O1516" s="25">
        <f>IF(N1516=0,0,AVERAGE(B1516:M1516))</f>
        <v>1.1374231950844853</v>
      </c>
    </row>
    <row r="1517" spans="1:15" s="9" customFormat="1" ht="15.75">
      <c r="A1517" s="213"/>
      <c r="B1517" s="214"/>
      <c r="C1517" s="214"/>
      <c r="D1517" s="214"/>
      <c r="E1517" s="214"/>
      <c r="F1517" s="214"/>
      <c r="G1517" s="215"/>
      <c r="H1517" s="215"/>
      <c r="I1517" s="215"/>
      <c r="J1517" s="215"/>
      <c r="K1517" s="215"/>
      <c r="L1517" s="215"/>
      <c r="M1517" s="215"/>
      <c r="N1517" s="216"/>
      <c r="O1517" s="214"/>
    </row>
    <row r="1518" spans="1:15" s="9" customFormat="1" ht="15.75">
      <c r="A1518" s="17" t="s">
        <v>631</v>
      </c>
      <c r="B1518" s="18"/>
      <c r="C1518" s="18"/>
      <c r="D1518" s="18"/>
      <c r="E1518" s="18"/>
      <c r="F1518" s="18"/>
      <c r="G1518" s="18"/>
      <c r="H1518" s="18"/>
      <c r="I1518" s="18"/>
      <c r="J1518" s="18"/>
      <c r="K1518" s="18"/>
      <c r="L1518" s="18"/>
      <c r="M1518" s="18"/>
      <c r="N1518" s="149"/>
      <c r="O1518" s="19"/>
    </row>
    <row r="1519" spans="1:15" s="9" customFormat="1" ht="15.75">
      <c r="A1519" s="66" t="s">
        <v>632</v>
      </c>
      <c r="B1519" s="18"/>
      <c r="C1519" s="18"/>
      <c r="D1519" s="18"/>
      <c r="E1519" s="18"/>
      <c r="F1519" s="18"/>
      <c r="G1519" s="18"/>
      <c r="H1519" s="18"/>
      <c r="I1519" s="18"/>
      <c r="J1519" s="18"/>
      <c r="K1519" s="18"/>
      <c r="L1519" s="18"/>
      <c r="M1519" s="18"/>
      <c r="N1519" s="149"/>
      <c r="O1519" s="19"/>
    </row>
    <row r="1520" spans="1:15" s="9" customFormat="1" ht="15.75">
      <c r="A1520" s="40" t="s">
        <v>18</v>
      </c>
      <c r="B1520" s="21">
        <v>0</v>
      </c>
      <c r="C1520" s="21">
        <v>0</v>
      </c>
      <c r="D1520" s="21">
        <v>0</v>
      </c>
      <c r="E1520" s="21">
        <v>0</v>
      </c>
      <c r="F1520" s="21">
        <v>0</v>
      </c>
      <c r="G1520" s="21">
        <v>0</v>
      </c>
      <c r="H1520" s="21">
        <v>0</v>
      </c>
      <c r="I1520" s="21">
        <v>0</v>
      </c>
      <c r="J1520" s="21">
        <v>0</v>
      </c>
      <c r="K1520" s="21">
        <v>0</v>
      </c>
      <c r="L1520" s="21">
        <v>0</v>
      </c>
      <c r="M1520" s="21">
        <v>0</v>
      </c>
      <c r="N1520" s="150">
        <f>SUM(B1520:M1520)</f>
        <v>0</v>
      </c>
      <c r="O1520" s="22">
        <f>IF(N1520=0,0,AVERAGE(B1520:M1520))</f>
        <v>0</v>
      </c>
    </row>
    <row r="1521" spans="1:15" s="9" customFormat="1" ht="15.75">
      <c r="A1521" s="40" t="s">
        <v>19</v>
      </c>
      <c r="B1521" s="21">
        <v>0</v>
      </c>
      <c r="C1521" s="21">
        <v>0</v>
      </c>
      <c r="D1521" s="21">
        <v>0</v>
      </c>
      <c r="E1521" s="21">
        <v>0</v>
      </c>
      <c r="F1521" s="21">
        <v>0</v>
      </c>
      <c r="G1521" s="21">
        <v>0</v>
      </c>
      <c r="H1521" s="21">
        <v>0</v>
      </c>
      <c r="I1521" s="21">
        <v>0</v>
      </c>
      <c r="J1521" s="21">
        <v>0</v>
      </c>
      <c r="K1521" s="21">
        <v>0</v>
      </c>
      <c r="L1521" s="21">
        <v>0</v>
      </c>
      <c r="M1521" s="21">
        <v>0</v>
      </c>
      <c r="N1521" s="150">
        <f>SUM(B1521:M1521)</f>
        <v>0</v>
      </c>
      <c r="O1521" s="22">
        <f>IF(N1521=0,0,AVERAGE(B1521:M1521))</f>
        <v>0</v>
      </c>
    </row>
    <row r="1522" spans="1:15" s="9" customFormat="1" ht="15.75">
      <c r="A1522" s="40" t="s">
        <v>20</v>
      </c>
      <c r="B1522" s="21">
        <v>0</v>
      </c>
      <c r="C1522" s="21">
        <v>0</v>
      </c>
      <c r="D1522" s="21">
        <v>0</v>
      </c>
      <c r="E1522" s="21">
        <v>0</v>
      </c>
      <c r="F1522" s="21">
        <v>0</v>
      </c>
      <c r="G1522" s="21">
        <v>0</v>
      </c>
      <c r="H1522" s="21">
        <v>0</v>
      </c>
      <c r="I1522" s="21">
        <v>0</v>
      </c>
      <c r="J1522" s="21">
        <v>0</v>
      </c>
      <c r="K1522" s="21">
        <v>0</v>
      </c>
      <c r="L1522" s="21">
        <v>0</v>
      </c>
      <c r="M1522" s="21">
        <v>0</v>
      </c>
      <c r="N1522" s="150">
        <f>SUM(B1522:M1522)</f>
        <v>0</v>
      </c>
      <c r="O1522" s="22">
        <f>IF(N1522=0,0,AVERAGE(B1522:M1522))</f>
        <v>0</v>
      </c>
    </row>
    <row r="1523" spans="1:15" s="9" customFormat="1" ht="15.75">
      <c r="A1523" s="62" t="s">
        <v>21</v>
      </c>
      <c r="B1523" s="24">
        <f t="shared" ref="B1523:C1523" si="2270">SUM(B1520:B1522)</f>
        <v>0</v>
      </c>
      <c r="C1523" s="24">
        <f t="shared" si="2270"/>
        <v>0</v>
      </c>
      <c r="D1523" s="24">
        <f t="shared" ref="D1523:E1523" si="2271">SUM(D1520:D1522)</f>
        <v>0</v>
      </c>
      <c r="E1523" s="24">
        <f t="shared" si="2271"/>
        <v>0</v>
      </c>
      <c r="F1523" s="24">
        <f t="shared" ref="F1523:G1523" si="2272">SUM(F1520:F1522)</f>
        <v>0</v>
      </c>
      <c r="G1523" s="24">
        <f t="shared" si="2272"/>
        <v>0</v>
      </c>
      <c r="H1523" s="24">
        <f t="shared" ref="H1523:K1523" si="2273">SUM(H1520:H1522)</f>
        <v>0</v>
      </c>
      <c r="I1523" s="24">
        <f t="shared" si="2273"/>
        <v>0</v>
      </c>
      <c r="J1523" s="24">
        <f t="shared" si="2273"/>
        <v>0</v>
      </c>
      <c r="K1523" s="24">
        <f t="shared" si="2273"/>
        <v>0</v>
      </c>
      <c r="L1523" s="24">
        <f t="shared" ref="L1523:M1523" si="2274">SUM(L1520:L1522)</f>
        <v>0</v>
      </c>
      <c r="M1523" s="24">
        <f t="shared" si="2274"/>
        <v>0</v>
      </c>
      <c r="N1523" s="144">
        <f>SUM(N1520:N1522)</f>
        <v>0</v>
      </c>
      <c r="O1523" s="25">
        <f>SUM(O1520:O1522)</f>
        <v>0</v>
      </c>
    </row>
    <row r="1524" spans="1:15" s="9" customFormat="1" ht="15.75">
      <c r="A1524" s="62" t="s">
        <v>112</v>
      </c>
      <c r="B1524" s="24" t="s">
        <v>44</v>
      </c>
      <c r="C1524" s="24" t="s">
        <v>44</v>
      </c>
      <c r="D1524" s="24" t="s">
        <v>44</v>
      </c>
      <c r="E1524" s="24" t="s">
        <v>44</v>
      </c>
      <c r="F1524" s="24" t="s">
        <v>44</v>
      </c>
      <c r="G1524" s="24" t="s">
        <v>44</v>
      </c>
      <c r="H1524" s="24" t="s">
        <v>44</v>
      </c>
      <c r="I1524" s="24" t="s">
        <v>44</v>
      </c>
      <c r="J1524" s="24" t="s">
        <v>44</v>
      </c>
      <c r="K1524" s="24" t="s">
        <v>44</v>
      </c>
      <c r="L1524" s="24" t="s">
        <v>44</v>
      </c>
      <c r="M1524" s="24" t="s">
        <v>44</v>
      </c>
      <c r="N1524" s="144">
        <f>SUM(B1524:M1524)</f>
        <v>0</v>
      </c>
      <c r="O1524" s="25">
        <f>IF(N1524=0,0,AVERAGE(B1524:M1524))</f>
        <v>0</v>
      </c>
    </row>
    <row r="1525" spans="1:15" s="9" customFormat="1" ht="15.75">
      <c r="A1525" s="101"/>
      <c r="B1525" s="27"/>
      <c r="C1525" s="27"/>
      <c r="D1525" s="27"/>
      <c r="E1525" s="27"/>
      <c r="F1525" s="27"/>
      <c r="G1525" s="27"/>
      <c r="H1525" s="27"/>
      <c r="I1525" s="28"/>
      <c r="J1525" s="28"/>
      <c r="K1525" s="28"/>
      <c r="L1525" s="28"/>
      <c r="M1525" s="28"/>
      <c r="N1525" s="151"/>
      <c r="O1525" s="102"/>
    </row>
    <row r="1526" spans="1:15" s="9" customFormat="1" ht="15.75">
      <c r="A1526" s="66" t="s">
        <v>633</v>
      </c>
      <c r="B1526" s="18"/>
      <c r="C1526" s="18"/>
      <c r="D1526" s="18"/>
      <c r="E1526" s="18"/>
      <c r="F1526" s="18"/>
      <c r="G1526" s="18"/>
      <c r="H1526" s="18"/>
      <c r="I1526" s="18"/>
      <c r="J1526" s="18"/>
      <c r="K1526" s="18"/>
      <c r="L1526" s="18"/>
      <c r="M1526" s="18"/>
      <c r="N1526" s="149"/>
      <c r="O1526" s="19"/>
    </row>
    <row r="1527" spans="1:15" s="9" customFormat="1" ht="15.75">
      <c r="A1527" s="104" t="s">
        <v>114</v>
      </c>
      <c r="B1527" s="106">
        <v>26</v>
      </c>
      <c r="C1527" s="106">
        <v>20</v>
      </c>
      <c r="D1527" s="106">
        <v>17</v>
      </c>
      <c r="E1527" s="106">
        <v>8</v>
      </c>
      <c r="F1527" s="106">
        <v>17</v>
      </c>
      <c r="G1527" s="106">
        <v>19</v>
      </c>
      <c r="H1527" s="106">
        <v>27</v>
      </c>
      <c r="I1527" s="106">
        <v>16</v>
      </c>
      <c r="J1527" s="106">
        <f>5+19</f>
        <v>24</v>
      </c>
      <c r="K1527" s="106">
        <v>25</v>
      </c>
      <c r="L1527" s="106">
        <v>34</v>
      </c>
      <c r="M1527" s="106">
        <v>37</v>
      </c>
      <c r="N1527" s="150">
        <f>SUM(B1527:M1527)</f>
        <v>270</v>
      </c>
      <c r="O1527" s="22">
        <f>IF(N1527=0,0,AVERAGE(B1527:M1527))</f>
        <v>22.5</v>
      </c>
    </row>
    <row r="1528" spans="1:15" s="9" customFormat="1" ht="15.75">
      <c r="A1528" s="62" t="s">
        <v>21</v>
      </c>
      <c r="B1528" s="24">
        <f t="shared" ref="B1528:C1528" si="2275">SUM(B1527)</f>
        <v>26</v>
      </c>
      <c r="C1528" s="24">
        <f t="shared" si="2275"/>
        <v>20</v>
      </c>
      <c r="D1528" s="24">
        <f t="shared" ref="D1528:E1528" si="2276">SUM(D1527)</f>
        <v>17</v>
      </c>
      <c r="E1528" s="24">
        <f t="shared" si="2276"/>
        <v>8</v>
      </c>
      <c r="F1528" s="24">
        <f t="shared" ref="F1528:G1528" si="2277">SUM(F1527)</f>
        <v>17</v>
      </c>
      <c r="G1528" s="24">
        <f t="shared" si="2277"/>
        <v>19</v>
      </c>
      <c r="H1528" s="24">
        <f t="shared" ref="H1528:I1528" si="2278">SUM(H1527)</f>
        <v>27</v>
      </c>
      <c r="I1528" s="24">
        <f t="shared" si="2278"/>
        <v>16</v>
      </c>
      <c r="J1528" s="24">
        <f t="shared" ref="J1528:K1528" si="2279">SUM(J1527)</f>
        <v>24</v>
      </c>
      <c r="K1528" s="24">
        <f t="shared" si="2279"/>
        <v>25</v>
      </c>
      <c r="L1528" s="24">
        <f t="shared" ref="L1528:M1528" si="2280">SUM(L1527)</f>
        <v>34</v>
      </c>
      <c r="M1528" s="24">
        <f t="shared" si="2280"/>
        <v>37</v>
      </c>
      <c r="N1528" s="144">
        <f>SUM(N1527)</f>
        <v>270</v>
      </c>
      <c r="O1528" s="25">
        <f>SUM(O1527)</f>
        <v>22.5</v>
      </c>
    </row>
    <row r="1529" spans="1:15" s="9" customFormat="1" ht="15.75">
      <c r="A1529" s="62" t="s">
        <v>112</v>
      </c>
      <c r="B1529" s="25">
        <f t="shared" ref="B1529:G1529" si="2281">IF(B1528=0,"",B1528/B$1870)</f>
        <v>0.83870967741935487</v>
      </c>
      <c r="C1529" s="25">
        <f t="shared" si="2281"/>
        <v>0.7142857142857143</v>
      </c>
      <c r="D1529" s="25">
        <f t="shared" si="2281"/>
        <v>0.54838709677419351</v>
      </c>
      <c r="E1529" s="25">
        <f t="shared" si="2281"/>
        <v>0.26666666666666666</v>
      </c>
      <c r="F1529" s="25">
        <f t="shared" si="2281"/>
        <v>0.54838709677419351</v>
      </c>
      <c r="G1529" s="25">
        <f t="shared" si="2281"/>
        <v>0.6333333333333333</v>
      </c>
      <c r="H1529" s="25">
        <f t="shared" ref="H1529:I1529" si="2282">IF(H1528=0,"",H1528/H$1870)</f>
        <v>0.87096774193548387</v>
      </c>
      <c r="I1529" s="25">
        <f t="shared" si="2282"/>
        <v>0.5161290322580645</v>
      </c>
      <c r="J1529" s="25">
        <f t="shared" ref="J1529:K1529" si="2283">IF(J1528=0,"",J1528/J$1870)</f>
        <v>0.8</v>
      </c>
      <c r="K1529" s="25">
        <f t="shared" si="2283"/>
        <v>0.80645161290322576</v>
      </c>
      <c r="L1529" s="25">
        <f t="shared" ref="L1529:M1529" si="2284">IF(L1528=0,"",L1528/L$1870)</f>
        <v>1.1333333333333333</v>
      </c>
      <c r="M1529" s="25">
        <f t="shared" si="2284"/>
        <v>1.1935483870967742</v>
      </c>
      <c r="N1529" s="144">
        <f>SUM(B1529:M1529)</f>
        <v>8.8701996927803375</v>
      </c>
      <c r="O1529" s="25">
        <f>IF(N1529=0,0,AVERAGE(B1529:M1529))</f>
        <v>0.73918330773169483</v>
      </c>
    </row>
    <row r="1530" spans="1:15" s="9" customFormat="1" ht="15.75">
      <c r="A1530" s="101"/>
      <c r="B1530" s="27"/>
      <c r="C1530" s="27"/>
      <c r="D1530" s="27"/>
      <c r="E1530" s="27"/>
      <c r="F1530" s="27"/>
      <c r="G1530" s="27"/>
      <c r="H1530" s="27"/>
      <c r="I1530" s="27"/>
      <c r="J1530" s="27"/>
      <c r="K1530" s="27"/>
      <c r="L1530" s="27"/>
      <c r="M1530" s="27"/>
      <c r="N1530" s="151"/>
      <c r="O1530" s="57"/>
    </row>
    <row r="1531" spans="1:15" s="9" customFormat="1" ht="15.75">
      <c r="A1531" s="91" t="s">
        <v>153</v>
      </c>
      <c r="B1531" s="92">
        <f t="shared" ref="B1531:C1531" si="2285">B1523</f>
        <v>0</v>
      </c>
      <c r="C1531" s="92">
        <f t="shared" si="2285"/>
        <v>0</v>
      </c>
      <c r="D1531" s="92">
        <f t="shared" ref="D1531:E1531" si="2286">D1523</f>
        <v>0</v>
      </c>
      <c r="E1531" s="92">
        <f t="shared" si="2286"/>
        <v>0</v>
      </c>
      <c r="F1531" s="92">
        <f t="shared" ref="F1531:G1531" si="2287">F1523</f>
        <v>0</v>
      </c>
      <c r="G1531" s="92">
        <f t="shared" si="2287"/>
        <v>0</v>
      </c>
      <c r="H1531" s="92">
        <f t="shared" ref="H1531:I1531" si="2288">H1523</f>
        <v>0</v>
      </c>
      <c r="I1531" s="92">
        <f t="shared" si="2288"/>
        <v>0</v>
      </c>
      <c r="J1531" s="92">
        <f t="shared" ref="J1531:K1531" si="2289">J1523</f>
        <v>0</v>
      </c>
      <c r="K1531" s="92">
        <f t="shared" si="2289"/>
        <v>0</v>
      </c>
      <c r="L1531" s="92">
        <f t="shared" ref="L1531:M1531" si="2290">L1523</f>
        <v>0</v>
      </c>
      <c r="M1531" s="92">
        <f t="shared" si="2290"/>
        <v>0</v>
      </c>
      <c r="N1531" s="150">
        <f>SUM(B1531:M1531)</f>
        <v>0</v>
      </c>
      <c r="O1531" s="22">
        <f>IF(N1531=0,0,AVERAGE(B1531:M1531))</f>
        <v>0</v>
      </c>
    </row>
    <row r="1532" spans="1:15" s="9" customFormat="1" ht="15.75">
      <c r="A1532" s="91" t="s">
        <v>154</v>
      </c>
      <c r="B1532" s="92">
        <f t="shared" ref="B1532:C1532" si="2291">B1528</f>
        <v>26</v>
      </c>
      <c r="C1532" s="92">
        <f t="shared" si="2291"/>
        <v>20</v>
      </c>
      <c r="D1532" s="92">
        <f t="shared" ref="D1532:E1532" si="2292">D1528</f>
        <v>17</v>
      </c>
      <c r="E1532" s="92">
        <f t="shared" si="2292"/>
        <v>8</v>
      </c>
      <c r="F1532" s="92">
        <f t="shared" ref="F1532:G1532" si="2293">F1528</f>
        <v>17</v>
      </c>
      <c r="G1532" s="92">
        <f t="shared" si="2293"/>
        <v>19</v>
      </c>
      <c r="H1532" s="92">
        <f t="shared" ref="H1532:I1532" si="2294">H1528</f>
        <v>27</v>
      </c>
      <c r="I1532" s="92">
        <f t="shared" si="2294"/>
        <v>16</v>
      </c>
      <c r="J1532" s="92">
        <f t="shared" ref="J1532:K1532" si="2295">J1528</f>
        <v>24</v>
      </c>
      <c r="K1532" s="92">
        <f t="shared" si="2295"/>
        <v>25</v>
      </c>
      <c r="L1532" s="92">
        <f t="shared" ref="L1532:M1532" si="2296">L1528</f>
        <v>34</v>
      </c>
      <c r="M1532" s="92">
        <f t="shared" si="2296"/>
        <v>37</v>
      </c>
      <c r="N1532" s="150">
        <f>SUM(B1532:M1532)</f>
        <v>270</v>
      </c>
      <c r="O1532" s="22">
        <f>IF(N1532=0,0,AVERAGE(B1532:M1532))</f>
        <v>22.5</v>
      </c>
    </row>
    <row r="1533" spans="1:15" s="9" customFormat="1" ht="15.75">
      <c r="A1533" s="381" t="s">
        <v>155</v>
      </c>
      <c r="B1533" s="372">
        <f t="shared" ref="B1533:C1533" si="2297">SUM(B1531:B1532)</f>
        <v>26</v>
      </c>
      <c r="C1533" s="372">
        <f t="shared" si="2297"/>
        <v>20</v>
      </c>
      <c r="D1533" s="372">
        <f t="shared" ref="D1533:E1533" si="2298">SUM(D1531:D1532)</f>
        <v>17</v>
      </c>
      <c r="E1533" s="372">
        <f t="shared" si="2298"/>
        <v>8</v>
      </c>
      <c r="F1533" s="372">
        <f t="shared" ref="F1533:G1533" si="2299">SUM(F1531:F1532)</f>
        <v>17</v>
      </c>
      <c r="G1533" s="372">
        <f t="shared" si="2299"/>
        <v>19</v>
      </c>
      <c r="H1533" s="372">
        <f t="shared" ref="H1533:I1533" si="2300">SUM(H1531:H1532)</f>
        <v>27</v>
      </c>
      <c r="I1533" s="372">
        <f t="shared" si="2300"/>
        <v>16</v>
      </c>
      <c r="J1533" s="372">
        <f t="shared" ref="J1533:K1533" si="2301">SUM(J1531:J1532)</f>
        <v>24</v>
      </c>
      <c r="K1533" s="372">
        <f t="shared" si="2301"/>
        <v>25</v>
      </c>
      <c r="L1533" s="372">
        <f t="shared" ref="L1533:M1533" si="2302">SUM(L1531:L1532)</f>
        <v>34</v>
      </c>
      <c r="M1533" s="372">
        <f t="shared" si="2302"/>
        <v>37</v>
      </c>
      <c r="N1533" s="373">
        <f>SUM(N1531:N1532)</f>
        <v>270</v>
      </c>
      <c r="O1533" s="374">
        <f>SUM(O1531:O1532)</f>
        <v>22.5</v>
      </c>
    </row>
    <row r="1534" spans="1:15" s="9" customFormat="1" ht="15.75">
      <c r="A1534" s="380"/>
      <c r="B1534" s="354"/>
      <c r="C1534" s="354"/>
      <c r="D1534" s="354"/>
      <c r="E1534" s="354"/>
      <c r="F1534" s="354"/>
      <c r="G1534" s="354"/>
      <c r="H1534" s="354"/>
      <c r="I1534" s="354"/>
      <c r="J1534" s="354"/>
      <c r="K1534" s="354"/>
      <c r="L1534" s="354"/>
      <c r="M1534" s="354"/>
      <c r="N1534" s="166"/>
      <c r="O1534" s="355"/>
    </row>
    <row r="1535" spans="1:15" s="9" customFormat="1" ht="15.75">
      <c r="A1535" s="17" t="s">
        <v>731</v>
      </c>
      <c r="B1535" s="30"/>
      <c r="C1535" s="30"/>
      <c r="D1535" s="30"/>
      <c r="E1535" s="30"/>
      <c r="F1535" s="30"/>
      <c r="G1535" s="30"/>
      <c r="H1535" s="30"/>
      <c r="I1535" s="30"/>
      <c r="J1535" s="30"/>
      <c r="K1535" s="30"/>
      <c r="L1535" s="30"/>
      <c r="M1535" s="30"/>
      <c r="N1535" s="152"/>
      <c r="O1535" s="31"/>
    </row>
    <row r="1536" spans="1:15" s="9" customFormat="1" ht="15.75">
      <c r="A1536" s="66" t="s">
        <v>634</v>
      </c>
      <c r="B1536" s="81"/>
      <c r="C1536" s="81"/>
      <c r="D1536" s="81"/>
      <c r="E1536" s="81"/>
      <c r="F1536" s="81"/>
      <c r="G1536" s="81"/>
      <c r="H1536" s="81"/>
      <c r="I1536" s="81"/>
      <c r="J1536" s="81"/>
      <c r="K1536" s="81"/>
      <c r="L1536" s="81"/>
      <c r="M1536" s="81"/>
      <c r="N1536" s="165"/>
      <c r="O1536" s="82"/>
    </row>
    <row r="1537" spans="1:15" s="9" customFormat="1" ht="15.75">
      <c r="A1537" s="40" t="s">
        <v>144</v>
      </c>
      <c r="B1537" s="21">
        <f t="shared" ref="B1537:G1537" si="2303">B1565+B1593</f>
        <v>240</v>
      </c>
      <c r="C1537" s="21">
        <f t="shared" si="2303"/>
        <v>201</v>
      </c>
      <c r="D1537" s="21">
        <f t="shared" si="2303"/>
        <v>263</v>
      </c>
      <c r="E1537" s="21">
        <f t="shared" si="2303"/>
        <v>186</v>
      </c>
      <c r="F1537" s="21">
        <f t="shared" si="2303"/>
        <v>31</v>
      </c>
      <c r="G1537" s="21">
        <f t="shared" si="2303"/>
        <v>86</v>
      </c>
      <c r="H1537" s="21">
        <f t="shared" ref="H1537:I1537" si="2304">H1565+H1593</f>
        <v>126</v>
      </c>
      <c r="I1537" s="21">
        <f t="shared" si="2304"/>
        <v>156</v>
      </c>
      <c r="J1537" s="21">
        <f t="shared" ref="J1537:K1537" si="2305">J1565+J1593</f>
        <v>196</v>
      </c>
      <c r="K1537" s="21">
        <f t="shared" si="2305"/>
        <v>258</v>
      </c>
      <c r="L1537" s="21">
        <f t="shared" ref="L1537:M1537" si="2306">L1565+L1593</f>
        <v>203</v>
      </c>
      <c r="M1537" s="21">
        <f t="shared" si="2306"/>
        <v>285</v>
      </c>
      <c r="N1537" s="150">
        <f>SUM(B1537:M1537)</f>
        <v>2231</v>
      </c>
      <c r="O1537" s="22">
        <f>AVERAGE(B1537:M1537)</f>
        <v>185.91666666666666</v>
      </c>
    </row>
    <row r="1538" spans="1:15" s="9" customFormat="1" ht="15.75">
      <c r="A1538" s="40" t="s">
        <v>723</v>
      </c>
      <c r="B1538" s="21">
        <f t="shared" ref="B1538:C1560" si="2307">B1566+B1594</f>
        <v>1</v>
      </c>
      <c r="C1538" s="21">
        <f t="shared" si="2307"/>
        <v>0</v>
      </c>
      <c r="D1538" s="21">
        <f t="shared" ref="D1538:E1538" si="2308">D1566+D1594</f>
        <v>0</v>
      </c>
      <c r="E1538" s="21">
        <f t="shared" si="2308"/>
        <v>0</v>
      </c>
      <c r="F1538" s="21">
        <f t="shared" ref="F1538:G1538" si="2309">F1566+F1594</f>
        <v>0</v>
      </c>
      <c r="G1538" s="21">
        <f t="shared" si="2309"/>
        <v>0</v>
      </c>
      <c r="H1538" s="21">
        <f t="shared" ref="H1538:I1538" si="2310">H1566+H1594</f>
        <v>1</v>
      </c>
      <c r="I1538" s="21">
        <f t="shared" si="2310"/>
        <v>0</v>
      </c>
      <c r="J1538" s="21">
        <f t="shared" ref="J1538:K1538" si="2311">J1566+J1594</f>
        <v>1</v>
      </c>
      <c r="K1538" s="21">
        <f t="shared" si="2311"/>
        <v>1</v>
      </c>
      <c r="L1538" s="21">
        <f t="shared" ref="L1538:M1538" si="2312">L1566+L1594</f>
        <v>1</v>
      </c>
      <c r="M1538" s="21">
        <f t="shared" si="2312"/>
        <v>1</v>
      </c>
      <c r="N1538" s="150">
        <f>SUM(B1538:M1538)</f>
        <v>6</v>
      </c>
      <c r="O1538" s="22">
        <f>AVERAGE(B1538:M1538)</f>
        <v>0.5</v>
      </c>
    </row>
    <row r="1539" spans="1:15" s="9" customFormat="1" ht="15.75">
      <c r="A1539" s="40" t="s">
        <v>607</v>
      </c>
      <c r="B1539" s="21">
        <f t="shared" si="2307"/>
        <v>65</v>
      </c>
      <c r="C1539" s="21">
        <f t="shared" si="2307"/>
        <v>69</v>
      </c>
      <c r="D1539" s="21">
        <f t="shared" ref="D1539:E1539" si="2313">D1567+D1595</f>
        <v>72</v>
      </c>
      <c r="E1539" s="21">
        <f t="shared" si="2313"/>
        <v>73</v>
      </c>
      <c r="F1539" s="21">
        <f t="shared" ref="F1539:G1539" si="2314">F1567+F1595</f>
        <v>73</v>
      </c>
      <c r="G1539" s="21">
        <f t="shared" si="2314"/>
        <v>74</v>
      </c>
      <c r="H1539" s="21">
        <f t="shared" ref="H1539:I1539" si="2315">H1567+H1595</f>
        <v>74</v>
      </c>
      <c r="I1539" s="21">
        <f t="shared" si="2315"/>
        <v>76</v>
      </c>
      <c r="J1539" s="21">
        <f t="shared" ref="J1539:K1539" si="2316">J1567+J1595</f>
        <v>76</v>
      </c>
      <c r="K1539" s="21">
        <f t="shared" si="2316"/>
        <v>70</v>
      </c>
      <c r="L1539" s="21">
        <f t="shared" ref="L1539:M1539" si="2317">L1567+L1595</f>
        <v>81</v>
      </c>
      <c r="M1539" s="21">
        <f t="shared" si="2317"/>
        <v>77</v>
      </c>
      <c r="N1539" s="150">
        <f>SUM(B1539:M1539)</f>
        <v>880</v>
      </c>
      <c r="O1539" s="22">
        <f>AVERAGE(B1539:M1539)</f>
        <v>73.333333333333329</v>
      </c>
    </row>
    <row r="1540" spans="1:15" s="9" customFormat="1" ht="15.75">
      <c r="A1540" s="40" t="s">
        <v>310</v>
      </c>
      <c r="B1540" s="21">
        <f t="shared" si="2307"/>
        <v>9</v>
      </c>
      <c r="C1540" s="21">
        <f t="shared" si="2307"/>
        <v>1</v>
      </c>
      <c r="D1540" s="21">
        <f t="shared" ref="D1540:E1540" si="2318">D1568+D1596</f>
        <v>2</v>
      </c>
      <c r="E1540" s="21">
        <f t="shared" si="2318"/>
        <v>4</v>
      </c>
      <c r="F1540" s="21">
        <f t="shared" ref="F1540:G1540" si="2319">F1568+F1596</f>
        <v>1</v>
      </c>
      <c r="G1540" s="21">
        <f t="shared" si="2319"/>
        <v>5</v>
      </c>
      <c r="H1540" s="21">
        <f t="shared" ref="H1540:I1540" si="2320">H1568+H1596</f>
        <v>4</v>
      </c>
      <c r="I1540" s="21">
        <f t="shared" si="2320"/>
        <v>3</v>
      </c>
      <c r="J1540" s="21">
        <f t="shared" ref="J1540:K1540" si="2321">J1568+J1596</f>
        <v>3</v>
      </c>
      <c r="K1540" s="21">
        <f t="shared" si="2321"/>
        <v>2</v>
      </c>
      <c r="L1540" s="21">
        <f t="shared" ref="L1540:M1540" si="2322">L1568+L1596</f>
        <v>2</v>
      </c>
      <c r="M1540" s="21">
        <f t="shared" si="2322"/>
        <v>4</v>
      </c>
      <c r="N1540" s="150">
        <f t="shared" ref="N1540" si="2323">SUM(B1540:M1540)</f>
        <v>40</v>
      </c>
      <c r="O1540" s="22">
        <f t="shared" ref="O1540" si="2324">AVERAGE(B1540:M1540)</f>
        <v>3.3333333333333335</v>
      </c>
    </row>
    <row r="1541" spans="1:15" s="9" customFormat="1" ht="30">
      <c r="A1541" s="40" t="s">
        <v>594</v>
      </c>
      <c r="B1541" s="21">
        <f t="shared" si="2307"/>
        <v>5</v>
      </c>
      <c r="C1541" s="21">
        <f t="shared" si="2307"/>
        <v>5</v>
      </c>
      <c r="D1541" s="21">
        <f t="shared" ref="D1541:E1541" si="2325">D1569+D1597</f>
        <v>3</v>
      </c>
      <c r="E1541" s="21">
        <f t="shared" si="2325"/>
        <v>6</v>
      </c>
      <c r="F1541" s="21">
        <f t="shared" ref="F1541:G1541" si="2326">F1569+F1597</f>
        <v>2</v>
      </c>
      <c r="G1541" s="21">
        <f t="shared" si="2326"/>
        <v>7</v>
      </c>
      <c r="H1541" s="21">
        <f t="shared" ref="H1541:I1541" si="2327">H1569+H1597</f>
        <v>5</v>
      </c>
      <c r="I1541" s="21">
        <f t="shared" si="2327"/>
        <v>8</v>
      </c>
      <c r="J1541" s="21">
        <f t="shared" ref="J1541:K1541" si="2328">J1569+J1597</f>
        <v>7</v>
      </c>
      <c r="K1541" s="21">
        <f t="shared" si="2328"/>
        <v>11</v>
      </c>
      <c r="L1541" s="21">
        <f t="shared" ref="L1541:M1541" si="2329">L1569+L1597</f>
        <v>14</v>
      </c>
      <c r="M1541" s="21">
        <f t="shared" si="2329"/>
        <v>13</v>
      </c>
      <c r="N1541" s="150">
        <f>SUM(B1541:M1541)</f>
        <v>86</v>
      </c>
      <c r="O1541" s="22">
        <f>AVERAGE(B1541:M1541)</f>
        <v>7.166666666666667</v>
      </c>
    </row>
    <row r="1542" spans="1:15" s="9" customFormat="1" ht="15.75">
      <c r="A1542" s="40" t="s">
        <v>182</v>
      </c>
      <c r="B1542" s="21">
        <f t="shared" si="2307"/>
        <v>94</v>
      </c>
      <c r="C1542" s="21">
        <f t="shared" si="2307"/>
        <v>75</v>
      </c>
      <c r="D1542" s="21">
        <f t="shared" ref="D1542:E1542" si="2330">D1570+D1598</f>
        <v>88</v>
      </c>
      <c r="E1542" s="21">
        <f t="shared" si="2330"/>
        <v>24</v>
      </c>
      <c r="F1542" s="21">
        <f t="shared" ref="F1542:G1542" si="2331">F1570+F1598</f>
        <v>23</v>
      </c>
      <c r="G1542" s="21">
        <f t="shared" si="2331"/>
        <v>71</v>
      </c>
      <c r="H1542" s="21">
        <f t="shared" ref="H1542:I1542" si="2332">H1570+H1598</f>
        <v>98</v>
      </c>
      <c r="I1542" s="21">
        <f t="shared" si="2332"/>
        <v>95</v>
      </c>
      <c r="J1542" s="21">
        <f t="shared" ref="J1542:K1542" si="2333">J1570+J1598</f>
        <v>96</v>
      </c>
      <c r="K1542" s="21">
        <f t="shared" si="2333"/>
        <v>80</v>
      </c>
      <c r="L1542" s="21">
        <f t="shared" ref="L1542:M1542" si="2334">L1570+L1598</f>
        <v>71</v>
      </c>
      <c r="M1542" s="21">
        <f t="shared" si="2334"/>
        <v>93</v>
      </c>
      <c r="N1542" s="150">
        <f t="shared" ref="N1542:N1559" si="2335">SUM(B1542:M1542)</f>
        <v>908</v>
      </c>
      <c r="O1542" s="22">
        <f t="shared" ref="O1542:O1559" si="2336">AVERAGE(B1542:M1542)</f>
        <v>75.666666666666671</v>
      </c>
    </row>
    <row r="1543" spans="1:15" s="9" customFormat="1" ht="15.75">
      <c r="A1543" s="40" t="s">
        <v>303</v>
      </c>
      <c r="B1543" s="21">
        <f t="shared" si="2307"/>
        <v>40</v>
      </c>
      <c r="C1543" s="21">
        <f t="shared" si="2307"/>
        <v>35</v>
      </c>
      <c r="D1543" s="21">
        <f t="shared" ref="D1543:E1543" si="2337">D1571+D1599</f>
        <v>33</v>
      </c>
      <c r="E1543" s="21">
        <f t="shared" si="2337"/>
        <v>0</v>
      </c>
      <c r="F1543" s="21">
        <f t="shared" ref="F1543:G1543" si="2338">F1571+F1599</f>
        <v>0</v>
      </c>
      <c r="G1543" s="21">
        <f t="shared" si="2338"/>
        <v>35</v>
      </c>
      <c r="H1543" s="21">
        <f t="shared" ref="H1543:I1543" si="2339">H1571+H1599</f>
        <v>40</v>
      </c>
      <c r="I1543" s="21">
        <f t="shared" si="2339"/>
        <v>36</v>
      </c>
      <c r="J1543" s="21">
        <f t="shared" ref="J1543:K1543" si="2340">J1571+J1599</f>
        <v>37</v>
      </c>
      <c r="K1543" s="21">
        <f t="shared" si="2340"/>
        <v>0</v>
      </c>
      <c r="L1543" s="21">
        <f t="shared" ref="L1543:M1543" si="2341">L1571+L1599</f>
        <v>0</v>
      </c>
      <c r="M1543" s="21">
        <f t="shared" si="2341"/>
        <v>0</v>
      </c>
      <c r="N1543" s="150">
        <f t="shared" si="2335"/>
        <v>256</v>
      </c>
      <c r="O1543" s="22">
        <f t="shared" si="2336"/>
        <v>21.333333333333332</v>
      </c>
    </row>
    <row r="1544" spans="1:15" s="9" customFormat="1" ht="15.75">
      <c r="A1544" s="40" t="s">
        <v>315</v>
      </c>
      <c r="B1544" s="21">
        <f t="shared" si="2307"/>
        <v>89</v>
      </c>
      <c r="C1544" s="21">
        <f t="shared" si="2307"/>
        <v>75</v>
      </c>
      <c r="D1544" s="21">
        <f t="shared" ref="D1544:E1544" si="2342">D1572+D1600</f>
        <v>70</v>
      </c>
      <c r="E1544" s="21">
        <f t="shared" si="2342"/>
        <v>29</v>
      </c>
      <c r="F1544" s="21">
        <f t="shared" ref="F1544:G1544" si="2343">F1572+F1600</f>
        <v>52</v>
      </c>
      <c r="G1544" s="21">
        <f t="shared" si="2343"/>
        <v>41</v>
      </c>
      <c r="H1544" s="21">
        <f t="shared" ref="H1544:I1544" si="2344">H1572+H1600</f>
        <v>0</v>
      </c>
      <c r="I1544" s="21">
        <f t="shared" si="2344"/>
        <v>83</v>
      </c>
      <c r="J1544" s="21">
        <f t="shared" ref="J1544:K1544" si="2345">J1572+J1600</f>
        <v>98</v>
      </c>
      <c r="K1544" s="21">
        <f t="shared" si="2345"/>
        <v>98</v>
      </c>
      <c r="L1544" s="21">
        <f t="shared" ref="L1544:M1544" si="2346">L1572+L1600</f>
        <v>4</v>
      </c>
      <c r="M1544" s="21">
        <f t="shared" si="2346"/>
        <v>0</v>
      </c>
      <c r="N1544" s="150">
        <f t="shared" si="2335"/>
        <v>639</v>
      </c>
      <c r="O1544" s="22">
        <f t="shared" si="2336"/>
        <v>53.25</v>
      </c>
    </row>
    <row r="1545" spans="1:15" s="9" customFormat="1" ht="15.75">
      <c r="A1545" s="40" t="s">
        <v>195</v>
      </c>
      <c r="B1545" s="21">
        <f t="shared" si="2307"/>
        <v>262</v>
      </c>
      <c r="C1545" s="21">
        <f t="shared" si="2307"/>
        <v>268</v>
      </c>
      <c r="D1545" s="21">
        <f t="shared" ref="D1545:E1545" si="2347">D1573+D1601</f>
        <v>202</v>
      </c>
      <c r="E1545" s="21">
        <f t="shared" si="2347"/>
        <v>141</v>
      </c>
      <c r="F1545" s="21">
        <f t="shared" ref="F1545:G1545" si="2348">F1573+F1601</f>
        <v>136</v>
      </c>
      <c r="G1545" s="21">
        <f t="shared" si="2348"/>
        <v>214</v>
      </c>
      <c r="H1545" s="21">
        <f t="shared" ref="H1545:I1545" si="2349">H1573+H1601</f>
        <v>245</v>
      </c>
      <c r="I1545" s="21">
        <f t="shared" si="2349"/>
        <v>288</v>
      </c>
      <c r="J1545" s="21">
        <f t="shared" ref="J1545:K1545" si="2350">J1573+J1601</f>
        <v>295</v>
      </c>
      <c r="K1545" s="21">
        <f t="shared" si="2350"/>
        <v>298</v>
      </c>
      <c r="L1545" s="21">
        <f t="shared" ref="L1545:M1545" si="2351">L1573+L1601</f>
        <v>318</v>
      </c>
      <c r="M1545" s="21">
        <f t="shared" si="2351"/>
        <v>355</v>
      </c>
      <c r="N1545" s="150">
        <f t="shared" si="2335"/>
        <v>3022</v>
      </c>
      <c r="O1545" s="22">
        <f t="shared" si="2336"/>
        <v>251.83333333333334</v>
      </c>
    </row>
    <row r="1546" spans="1:15" s="9" customFormat="1" ht="15.75">
      <c r="A1546" s="37" t="s">
        <v>30</v>
      </c>
      <c r="B1546" s="21">
        <f t="shared" si="2307"/>
        <v>251</v>
      </c>
      <c r="C1546" s="21">
        <f t="shared" si="2307"/>
        <v>365</v>
      </c>
      <c r="D1546" s="21">
        <f t="shared" ref="D1546:E1546" si="2352">D1574+D1602</f>
        <v>347</v>
      </c>
      <c r="E1546" s="21">
        <f t="shared" si="2352"/>
        <v>162</v>
      </c>
      <c r="F1546" s="21">
        <f t="shared" ref="F1546:G1546" si="2353">F1574+F1602</f>
        <v>85</v>
      </c>
      <c r="G1546" s="21">
        <f t="shared" si="2353"/>
        <v>226</v>
      </c>
      <c r="H1546" s="21">
        <f t="shared" ref="H1546:I1546" si="2354">H1574+H1602</f>
        <v>275</v>
      </c>
      <c r="I1546" s="21">
        <f t="shared" si="2354"/>
        <v>378</v>
      </c>
      <c r="J1546" s="21">
        <f t="shared" ref="J1546:K1546" si="2355">J1574+J1602</f>
        <v>460</v>
      </c>
      <c r="K1546" s="21">
        <f t="shared" si="2355"/>
        <v>430</v>
      </c>
      <c r="L1546" s="21">
        <f t="shared" ref="L1546:M1546" si="2356">L1574+L1602</f>
        <v>397</v>
      </c>
      <c r="M1546" s="21">
        <f t="shared" si="2356"/>
        <v>283</v>
      </c>
      <c r="N1546" s="150">
        <f t="shared" si="2335"/>
        <v>3659</v>
      </c>
      <c r="O1546" s="22">
        <f t="shared" si="2336"/>
        <v>304.91666666666669</v>
      </c>
    </row>
    <row r="1547" spans="1:15" s="9" customFormat="1" ht="15.75">
      <c r="A1547" s="37" t="s">
        <v>406</v>
      </c>
      <c r="B1547" s="21">
        <f t="shared" si="2307"/>
        <v>20</v>
      </c>
      <c r="C1547" s="21">
        <f t="shared" si="2307"/>
        <v>20</v>
      </c>
      <c r="D1547" s="21">
        <f t="shared" ref="D1547:E1547" si="2357">D1575+D1603</f>
        <v>17</v>
      </c>
      <c r="E1547" s="21">
        <f t="shared" si="2357"/>
        <v>10</v>
      </c>
      <c r="F1547" s="21">
        <f t="shared" ref="F1547:G1547" si="2358">F1575+F1603</f>
        <v>17</v>
      </c>
      <c r="G1547" s="21">
        <f t="shared" si="2358"/>
        <v>12</v>
      </c>
      <c r="H1547" s="21">
        <f t="shared" ref="H1547:I1547" si="2359">H1575+H1603</f>
        <v>3</v>
      </c>
      <c r="I1547" s="21">
        <f t="shared" si="2359"/>
        <v>22</v>
      </c>
      <c r="J1547" s="21">
        <f t="shared" ref="J1547:K1547" si="2360">J1575+J1603</f>
        <v>14</v>
      </c>
      <c r="K1547" s="21">
        <f t="shared" si="2360"/>
        <v>0</v>
      </c>
      <c r="L1547" s="21">
        <f t="shared" ref="L1547:M1547" si="2361">L1575+L1603</f>
        <v>0</v>
      </c>
      <c r="M1547" s="21">
        <f t="shared" si="2361"/>
        <v>0</v>
      </c>
      <c r="N1547" s="150">
        <f t="shared" si="2335"/>
        <v>135</v>
      </c>
      <c r="O1547" s="22">
        <f t="shared" si="2336"/>
        <v>11.25</v>
      </c>
    </row>
    <row r="1548" spans="1:15" s="9" customFormat="1" ht="15.75">
      <c r="A1548" s="40" t="s">
        <v>316</v>
      </c>
      <c r="B1548" s="21">
        <f t="shared" si="2307"/>
        <v>27</v>
      </c>
      <c r="C1548" s="21">
        <f t="shared" si="2307"/>
        <v>30</v>
      </c>
      <c r="D1548" s="21">
        <f t="shared" ref="D1548:E1548" si="2362">D1576+D1604</f>
        <v>23</v>
      </c>
      <c r="E1548" s="21">
        <f t="shared" si="2362"/>
        <v>0</v>
      </c>
      <c r="F1548" s="21">
        <f t="shared" ref="F1548:G1548" si="2363">F1576+F1604</f>
        <v>0</v>
      </c>
      <c r="G1548" s="21">
        <f t="shared" si="2363"/>
        <v>13</v>
      </c>
      <c r="H1548" s="21">
        <f t="shared" ref="H1548:I1548" si="2364">H1576+H1604</f>
        <v>0</v>
      </c>
      <c r="I1548" s="21">
        <f t="shared" si="2364"/>
        <v>0</v>
      </c>
      <c r="J1548" s="21">
        <f t="shared" ref="J1548:K1548" si="2365">J1576+J1604</f>
        <v>21</v>
      </c>
      <c r="K1548" s="21">
        <f t="shared" si="2365"/>
        <v>30</v>
      </c>
      <c r="L1548" s="21">
        <f t="shared" ref="L1548:M1548" si="2366">L1576+L1604</f>
        <v>0</v>
      </c>
      <c r="M1548" s="21">
        <f t="shared" si="2366"/>
        <v>6</v>
      </c>
      <c r="N1548" s="150">
        <f t="shared" si="2335"/>
        <v>150</v>
      </c>
      <c r="O1548" s="22">
        <f t="shared" si="2336"/>
        <v>12.5</v>
      </c>
    </row>
    <row r="1549" spans="1:15" s="9" customFormat="1" ht="15.75">
      <c r="A1549" s="70" t="s">
        <v>393</v>
      </c>
      <c r="B1549" s="21">
        <f t="shared" si="2307"/>
        <v>20677</v>
      </c>
      <c r="C1549" s="21">
        <f t="shared" si="2307"/>
        <v>17428</v>
      </c>
      <c r="D1549" s="21">
        <f t="shared" ref="D1549:E1549" si="2367">D1577+D1605</f>
        <v>18146</v>
      </c>
      <c r="E1549" s="21">
        <f t="shared" si="2367"/>
        <v>13648</v>
      </c>
      <c r="F1549" s="21">
        <f t="shared" ref="F1549:G1549" si="2368">F1577+F1605</f>
        <v>12944</v>
      </c>
      <c r="G1549" s="21">
        <f t="shared" si="2368"/>
        <v>16537</v>
      </c>
      <c r="H1549" s="21">
        <f t="shared" ref="H1549:I1549" si="2369">H1577+H1605</f>
        <v>20958</v>
      </c>
      <c r="I1549" s="21">
        <f t="shared" si="2369"/>
        <v>20914</v>
      </c>
      <c r="J1549" s="21">
        <f t="shared" ref="J1549:K1549" si="2370">J1577+J1605</f>
        <v>20352</v>
      </c>
      <c r="K1549" s="21">
        <f t="shared" si="2370"/>
        <v>21103</v>
      </c>
      <c r="L1549" s="21">
        <f t="shared" ref="L1549:M1549" si="2371">L1577+L1605</f>
        <v>20600</v>
      </c>
      <c r="M1549" s="21">
        <f t="shared" si="2371"/>
        <v>18631</v>
      </c>
      <c r="N1549" s="162">
        <f t="shared" si="2335"/>
        <v>221938</v>
      </c>
      <c r="O1549" s="72">
        <f t="shared" si="2336"/>
        <v>18494.833333333332</v>
      </c>
    </row>
    <row r="1550" spans="1:15" s="9" customFormat="1" ht="15.75">
      <c r="A1550" s="44" t="s">
        <v>309</v>
      </c>
      <c r="B1550" s="21">
        <f t="shared" si="2307"/>
        <v>15</v>
      </c>
      <c r="C1550" s="21">
        <f t="shared" si="2307"/>
        <v>20</v>
      </c>
      <c r="D1550" s="21">
        <f t="shared" ref="D1550:E1550" si="2372">D1578+D1606</f>
        <v>11</v>
      </c>
      <c r="E1550" s="21">
        <f t="shared" si="2372"/>
        <v>8</v>
      </c>
      <c r="F1550" s="21">
        <f t="shared" ref="F1550:G1550" si="2373">F1578+F1606</f>
        <v>14</v>
      </c>
      <c r="G1550" s="21">
        <f t="shared" si="2373"/>
        <v>18</v>
      </c>
      <c r="H1550" s="21">
        <f t="shared" ref="H1550:I1550" si="2374">H1578+H1606</f>
        <v>20</v>
      </c>
      <c r="I1550" s="21">
        <f t="shared" si="2374"/>
        <v>19</v>
      </c>
      <c r="J1550" s="21">
        <f t="shared" ref="J1550:K1550" si="2375">J1578+J1606</f>
        <v>14</v>
      </c>
      <c r="K1550" s="21">
        <f t="shared" si="2375"/>
        <v>17</v>
      </c>
      <c r="L1550" s="21">
        <f t="shared" ref="L1550:M1550" si="2376">L1578+L1606</f>
        <v>20</v>
      </c>
      <c r="M1550" s="21">
        <f t="shared" si="2376"/>
        <v>16</v>
      </c>
      <c r="N1550" s="155">
        <f t="shared" si="2335"/>
        <v>192</v>
      </c>
      <c r="O1550" s="45">
        <f t="shared" si="2336"/>
        <v>16</v>
      </c>
    </row>
    <row r="1551" spans="1:15" s="9" customFormat="1" ht="15.75">
      <c r="A1551" s="268" t="s">
        <v>407</v>
      </c>
      <c r="B1551" s="21">
        <f t="shared" si="2307"/>
        <v>12</v>
      </c>
      <c r="C1551" s="21">
        <f t="shared" si="2307"/>
        <v>12</v>
      </c>
      <c r="D1551" s="21">
        <f t="shared" ref="D1551:E1551" si="2377">D1579+D1607</f>
        <v>12</v>
      </c>
      <c r="E1551" s="21">
        <f t="shared" si="2377"/>
        <v>12</v>
      </c>
      <c r="F1551" s="21">
        <f t="shared" ref="F1551:G1551" si="2378">F1579+F1607</f>
        <v>12</v>
      </c>
      <c r="G1551" s="21">
        <f t="shared" si="2378"/>
        <v>12</v>
      </c>
      <c r="H1551" s="21">
        <f t="shared" ref="H1551:I1551" si="2379">H1579+H1607</f>
        <v>12</v>
      </c>
      <c r="I1551" s="21">
        <f t="shared" si="2379"/>
        <v>12</v>
      </c>
      <c r="J1551" s="21">
        <f t="shared" ref="J1551:K1551" si="2380">J1579+J1607</f>
        <v>7</v>
      </c>
      <c r="K1551" s="21">
        <f t="shared" si="2380"/>
        <v>0</v>
      </c>
      <c r="L1551" s="21">
        <f t="shared" ref="L1551:M1551" si="2381">L1579+L1607</f>
        <v>0</v>
      </c>
      <c r="M1551" s="21">
        <f t="shared" si="2381"/>
        <v>0</v>
      </c>
      <c r="N1551" s="174">
        <f t="shared" si="2335"/>
        <v>103</v>
      </c>
      <c r="O1551" s="122">
        <f t="shared" si="2336"/>
        <v>8.5833333333333339</v>
      </c>
    </row>
    <row r="1552" spans="1:15" s="9" customFormat="1" ht="15.75">
      <c r="A1552" s="40" t="s">
        <v>416</v>
      </c>
      <c r="B1552" s="21">
        <f t="shared" si="2307"/>
        <v>5</v>
      </c>
      <c r="C1552" s="21">
        <f t="shared" si="2307"/>
        <v>5</v>
      </c>
      <c r="D1552" s="21">
        <f t="shared" ref="D1552:E1552" si="2382">D1580+D1608</f>
        <v>4</v>
      </c>
      <c r="E1552" s="21">
        <f t="shared" si="2382"/>
        <v>0</v>
      </c>
      <c r="F1552" s="21">
        <f t="shared" ref="F1552:G1552" si="2383">F1580+F1608</f>
        <v>0</v>
      </c>
      <c r="G1552" s="21">
        <f t="shared" si="2383"/>
        <v>2</v>
      </c>
      <c r="H1552" s="21">
        <f t="shared" ref="H1552:I1552" si="2384">H1580+H1608</f>
        <v>3</v>
      </c>
      <c r="I1552" s="21">
        <f t="shared" si="2384"/>
        <v>2</v>
      </c>
      <c r="J1552" s="21">
        <f t="shared" ref="J1552:K1552" si="2385">J1580+J1608</f>
        <v>2</v>
      </c>
      <c r="K1552" s="21">
        <f t="shared" si="2385"/>
        <v>0</v>
      </c>
      <c r="L1552" s="21">
        <f t="shared" ref="L1552:M1552" si="2386">L1580+L1608</f>
        <v>0</v>
      </c>
      <c r="M1552" s="21">
        <f t="shared" si="2386"/>
        <v>0</v>
      </c>
      <c r="N1552" s="150">
        <f t="shared" si="2335"/>
        <v>23</v>
      </c>
      <c r="O1552" s="22">
        <f t="shared" si="2336"/>
        <v>1.9166666666666667</v>
      </c>
    </row>
    <row r="1553" spans="1:26" s="9" customFormat="1" ht="15.75">
      <c r="A1553" s="40" t="s">
        <v>302</v>
      </c>
      <c r="B1553" s="21">
        <f t="shared" si="2307"/>
        <v>17</v>
      </c>
      <c r="C1553" s="21">
        <f t="shared" si="2307"/>
        <v>30</v>
      </c>
      <c r="D1553" s="21">
        <f t="shared" ref="D1553:E1553" si="2387">D1581+D1609</f>
        <v>25</v>
      </c>
      <c r="E1553" s="21">
        <f t="shared" si="2387"/>
        <v>12</v>
      </c>
      <c r="F1553" s="21">
        <f t="shared" ref="F1553:G1553" si="2388">F1581+F1609</f>
        <v>9</v>
      </c>
      <c r="G1553" s="21">
        <f t="shared" si="2388"/>
        <v>25</v>
      </c>
      <c r="H1553" s="21">
        <f t="shared" ref="H1553:I1553" si="2389">H1581+H1609</f>
        <v>0</v>
      </c>
      <c r="I1553" s="21">
        <f t="shared" si="2389"/>
        <v>30</v>
      </c>
      <c r="J1553" s="21">
        <f t="shared" ref="J1553:K1553" si="2390">J1581+J1609</f>
        <v>35</v>
      </c>
      <c r="K1553" s="21">
        <f t="shared" si="2390"/>
        <v>11</v>
      </c>
      <c r="L1553" s="21">
        <f t="shared" ref="L1553:M1553" si="2391">L1581+L1609</f>
        <v>62</v>
      </c>
      <c r="M1553" s="21">
        <f t="shared" si="2391"/>
        <v>23</v>
      </c>
      <c r="N1553" s="150">
        <f t="shared" si="2335"/>
        <v>279</v>
      </c>
      <c r="O1553" s="22">
        <f t="shared" si="2336"/>
        <v>23.25</v>
      </c>
    </row>
    <row r="1554" spans="1:26" s="9" customFormat="1" ht="15.75">
      <c r="A1554" s="40" t="s">
        <v>405</v>
      </c>
      <c r="B1554" s="21">
        <f t="shared" si="2307"/>
        <v>3</v>
      </c>
      <c r="C1554" s="21">
        <f t="shared" si="2307"/>
        <v>3</v>
      </c>
      <c r="D1554" s="21">
        <f t="shared" ref="D1554:E1554" si="2392">D1582+D1610</f>
        <v>1</v>
      </c>
      <c r="E1554" s="21">
        <f t="shared" si="2392"/>
        <v>0</v>
      </c>
      <c r="F1554" s="21">
        <f t="shared" ref="F1554:G1554" si="2393">F1582+F1610</f>
        <v>1</v>
      </c>
      <c r="G1554" s="21">
        <f t="shared" si="2393"/>
        <v>1</v>
      </c>
      <c r="H1554" s="21">
        <f t="shared" ref="H1554:I1554" si="2394">H1582+H1610</f>
        <v>5</v>
      </c>
      <c r="I1554" s="21">
        <f t="shared" si="2394"/>
        <v>3</v>
      </c>
      <c r="J1554" s="21">
        <f t="shared" ref="J1554:K1554" si="2395">J1582+J1610</f>
        <v>0</v>
      </c>
      <c r="K1554" s="21">
        <f t="shared" si="2395"/>
        <v>0</v>
      </c>
      <c r="L1554" s="21">
        <f t="shared" ref="L1554:M1554" si="2396">L1582+L1610</f>
        <v>0</v>
      </c>
      <c r="M1554" s="21">
        <f t="shared" si="2396"/>
        <v>0</v>
      </c>
      <c r="N1554" s="150">
        <f t="shared" si="2335"/>
        <v>17</v>
      </c>
      <c r="O1554" s="22">
        <f t="shared" si="2336"/>
        <v>1.4166666666666667</v>
      </c>
    </row>
    <row r="1555" spans="1:26" s="9" customFormat="1" ht="15.75">
      <c r="A1555" s="40" t="s">
        <v>192</v>
      </c>
      <c r="B1555" s="21">
        <f t="shared" si="2307"/>
        <v>436</v>
      </c>
      <c r="C1555" s="21">
        <f t="shared" si="2307"/>
        <v>401</v>
      </c>
      <c r="D1555" s="21">
        <f t="shared" ref="D1555:E1555" si="2397">D1583+D1611</f>
        <v>516</v>
      </c>
      <c r="E1555" s="21">
        <f t="shared" si="2397"/>
        <v>316</v>
      </c>
      <c r="F1555" s="21">
        <f t="shared" ref="F1555:G1555" si="2398">F1583+F1611</f>
        <v>342</v>
      </c>
      <c r="G1555" s="21">
        <f t="shared" si="2398"/>
        <v>403</v>
      </c>
      <c r="H1555" s="21">
        <f t="shared" ref="H1555:I1555" si="2399">H1583+H1611</f>
        <v>548</v>
      </c>
      <c r="I1555" s="21">
        <f t="shared" si="2399"/>
        <v>630</v>
      </c>
      <c r="J1555" s="21">
        <f t="shared" ref="J1555:K1555" si="2400">J1583+J1611</f>
        <v>619</v>
      </c>
      <c r="K1555" s="21">
        <f t="shared" si="2400"/>
        <v>537</v>
      </c>
      <c r="L1555" s="21">
        <f t="shared" ref="L1555:M1555" si="2401">L1583+L1611</f>
        <v>592</v>
      </c>
      <c r="M1555" s="21">
        <f t="shared" si="2401"/>
        <v>576</v>
      </c>
      <c r="N1555" s="150">
        <f t="shared" si="2335"/>
        <v>5916</v>
      </c>
      <c r="O1555" s="22">
        <f t="shared" si="2336"/>
        <v>493</v>
      </c>
    </row>
    <row r="1556" spans="1:26" s="9" customFormat="1" ht="15.75">
      <c r="A1556" s="40" t="s">
        <v>304</v>
      </c>
      <c r="B1556" s="21">
        <f t="shared" si="2307"/>
        <v>45</v>
      </c>
      <c r="C1556" s="21">
        <f t="shared" si="2307"/>
        <v>42</v>
      </c>
      <c r="D1556" s="21">
        <f t="shared" ref="D1556:E1556" si="2402">D1584+D1612</f>
        <v>38</v>
      </c>
      <c r="E1556" s="21">
        <f t="shared" si="2402"/>
        <v>27</v>
      </c>
      <c r="F1556" s="21">
        <f t="shared" ref="F1556:G1556" si="2403">F1584+F1612</f>
        <v>35</v>
      </c>
      <c r="G1556" s="21">
        <f t="shared" si="2403"/>
        <v>41</v>
      </c>
      <c r="H1556" s="21">
        <f t="shared" ref="H1556:I1556" si="2404">H1584+H1612</f>
        <v>55</v>
      </c>
      <c r="I1556" s="21">
        <f t="shared" si="2404"/>
        <v>53</v>
      </c>
      <c r="J1556" s="21">
        <f t="shared" ref="J1556:K1556" si="2405">J1584+J1612</f>
        <v>42</v>
      </c>
      <c r="K1556" s="21">
        <f t="shared" si="2405"/>
        <v>42</v>
      </c>
      <c r="L1556" s="21">
        <f t="shared" ref="L1556:M1556" si="2406">L1584+L1612</f>
        <v>51</v>
      </c>
      <c r="M1556" s="21">
        <f t="shared" si="2406"/>
        <v>20</v>
      </c>
      <c r="N1556" s="150">
        <f t="shared" si="2335"/>
        <v>491</v>
      </c>
      <c r="O1556" s="22">
        <f t="shared" si="2336"/>
        <v>40.916666666666664</v>
      </c>
    </row>
    <row r="1557" spans="1:26" s="9" customFormat="1" ht="15.75">
      <c r="A1557" s="40" t="s">
        <v>334</v>
      </c>
      <c r="B1557" s="21">
        <f t="shared" si="2307"/>
        <v>12</v>
      </c>
      <c r="C1557" s="21">
        <f t="shared" si="2307"/>
        <v>19</v>
      </c>
      <c r="D1557" s="21">
        <f t="shared" ref="D1557:E1557" si="2407">D1585+D1613</f>
        <v>10</v>
      </c>
      <c r="E1557" s="21">
        <f t="shared" si="2407"/>
        <v>0</v>
      </c>
      <c r="F1557" s="21">
        <f t="shared" ref="F1557:G1557" si="2408">F1585+F1613</f>
        <v>0</v>
      </c>
      <c r="G1557" s="21">
        <f t="shared" si="2408"/>
        <v>16</v>
      </c>
      <c r="H1557" s="21">
        <f t="shared" ref="H1557:I1557" si="2409">H1585+H1613</f>
        <v>17</v>
      </c>
      <c r="I1557" s="21">
        <f t="shared" si="2409"/>
        <v>12</v>
      </c>
      <c r="J1557" s="21">
        <f t="shared" ref="J1557:K1557" si="2410">J1585+J1613</f>
        <v>13</v>
      </c>
      <c r="K1557" s="21">
        <f t="shared" si="2410"/>
        <v>0</v>
      </c>
      <c r="L1557" s="21">
        <f t="shared" ref="L1557:M1557" si="2411">L1585+L1613</f>
        <v>0</v>
      </c>
      <c r="M1557" s="21">
        <f t="shared" si="2411"/>
        <v>0</v>
      </c>
      <c r="N1557" s="150">
        <f t="shared" si="2335"/>
        <v>99</v>
      </c>
      <c r="O1557" s="22">
        <f t="shared" si="2336"/>
        <v>8.25</v>
      </c>
    </row>
    <row r="1558" spans="1:26" s="9" customFormat="1" ht="15.75">
      <c r="A1558" s="37" t="s">
        <v>193</v>
      </c>
      <c r="B1558" s="21">
        <f t="shared" si="2307"/>
        <v>168</v>
      </c>
      <c r="C1558" s="21">
        <f t="shared" si="2307"/>
        <v>130</v>
      </c>
      <c r="D1558" s="21">
        <f t="shared" ref="D1558:E1558" si="2412">D1586+D1614</f>
        <v>121</v>
      </c>
      <c r="E1558" s="21">
        <f t="shared" si="2412"/>
        <v>81</v>
      </c>
      <c r="F1558" s="21">
        <f t="shared" ref="F1558:G1558" si="2413">F1586+F1614</f>
        <v>97</v>
      </c>
      <c r="G1558" s="21">
        <f t="shared" si="2413"/>
        <v>148</v>
      </c>
      <c r="H1558" s="21">
        <f t="shared" ref="H1558:I1558" si="2414">H1586+H1614</f>
        <v>155</v>
      </c>
      <c r="I1558" s="21">
        <f t="shared" si="2414"/>
        <v>154</v>
      </c>
      <c r="J1558" s="21">
        <f t="shared" ref="J1558:K1558" si="2415">J1586+J1614</f>
        <v>141</v>
      </c>
      <c r="K1558" s="21">
        <f t="shared" si="2415"/>
        <v>121</v>
      </c>
      <c r="L1558" s="21">
        <f t="shared" ref="L1558:M1558" si="2416">L1586+L1614</f>
        <v>141</v>
      </c>
      <c r="M1558" s="21">
        <f t="shared" si="2416"/>
        <v>147</v>
      </c>
      <c r="N1558" s="150">
        <f t="shared" si="2335"/>
        <v>1604</v>
      </c>
      <c r="O1558" s="22">
        <f t="shared" si="2336"/>
        <v>133.66666666666666</v>
      </c>
    </row>
    <row r="1559" spans="1:26" s="9" customFormat="1" ht="15.75">
      <c r="A1559" s="37" t="s">
        <v>194</v>
      </c>
      <c r="B1559" s="21">
        <f t="shared" si="2307"/>
        <v>214</v>
      </c>
      <c r="C1559" s="21">
        <f t="shared" si="2307"/>
        <v>146</v>
      </c>
      <c r="D1559" s="21">
        <f t="shared" ref="D1559:E1559" si="2417">D1587+D1615</f>
        <v>134</v>
      </c>
      <c r="E1559" s="21">
        <f t="shared" si="2417"/>
        <v>93</v>
      </c>
      <c r="F1559" s="21">
        <f t="shared" ref="F1559:G1559" si="2418">F1587+F1615</f>
        <v>82</v>
      </c>
      <c r="G1559" s="21">
        <f t="shared" si="2418"/>
        <v>114</v>
      </c>
      <c r="H1559" s="21">
        <f t="shared" ref="H1559:I1559" si="2419">H1587+H1615</f>
        <v>0</v>
      </c>
      <c r="I1559" s="21">
        <f t="shared" si="2419"/>
        <v>197</v>
      </c>
      <c r="J1559" s="21">
        <f t="shared" ref="J1559:K1559" si="2420">J1587+J1615</f>
        <v>250</v>
      </c>
      <c r="K1559" s="21">
        <f t="shared" si="2420"/>
        <v>212</v>
      </c>
      <c r="L1559" s="21">
        <f t="shared" ref="L1559:M1559" si="2421">L1587+L1615</f>
        <v>203</v>
      </c>
      <c r="M1559" s="21">
        <f t="shared" si="2421"/>
        <v>172</v>
      </c>
      <c r="N1559" s="150">
        <f t="shared" si="2335"/>
        <v>1817</v>
      </c>
      <c r="O1559" s="22">
        <f t="shared" si="2336"/>
        <v>151.41666666666666</v>
      </c>
    </row>
    <row r="1560" spans="1:26" s="9" customFormat="1" ht="15.75">
      <c r="A1560" s="37" t="s">
        <v>343</v>
      </c>
      <c r="B1560" s="21">
        <f t="shared" si="2307"/>
        <v>41</v>
      </c>
      <c r="C1560" s="21">
        <f t="shared" si="2307"/>
        <v>30</v>
      </c>
      <c r="D1560" s="21">
        <f t="shared" ref="D1560:E1560" si="2422">D1588+D1616</f>
        <v>30</v>
      </c>
      <c r="E1560" s="21">
        <f t="shared" si="2422"/>
        <v>16</v>
      </c>
      <c r="F1560" s="21">
        <f t="shared" ref="F1560:G1560" si="2423">F1588+F1616</f>
        <v>28</v>
      </c>
      <c r="G1560" s="21">
        <f t="shared" si="2423"/>
        <v>43</v>
      </c>
      <c r="H1560" s="21">
        <f t="shared" ref="H1560:I1560" si="2424">H1588+H1616</f>
        <v>10</v>
      </c>
      <c r="I1560" s="21">
        <f t="shared" si="2424"/>
        <v>55</v>
      </c>
      <c r="J1560" s="21">
        <f t="shared" ref="J1560:K1560" si="2425">J1588+J1616</f>
        <v>51</v>
      </c>
      <c r="K1560" s="21">
        <f t="shared" si="2425"/>
        <v>2</v>
      </c>
      <c r="L1560" s="21">
        <f t="shared" ref="L1560:M1560" si="2426">L1588+L1616</f>
        <v>0</v>
      </c>
      <c r="M1560" s="21">
        <f t="shared" si="2426"/>
        <v>1</v>
      </c>
      <c r="N1560" s="150">
        <f>SUM(B1560:M1560)</f>
        <v>307</v>
      </c>
      <c r="O1560" s="22">
        <f>AVERAGE(B1560:M1560)</f>
        <v>25.583333333333332</v>
      </c>
      <c r="P1560" s="103"/>
      <c r="Q1560" s="103"/>
      <c r="R1560" s="103"/>
      <c r="S1560" s="103"/>
      <c r="T1560" s="103"/>
      <c r="U1560" s="103"/>
      <c r="V1560" s="103"/>
      <c r="W1560" s="103"/>
      <c r="X1560" s="103"/>
      <c r="Y1560" s="103"/>
      <c r="Z1560" s="103"/>
    </row>
    <row r="1561" spans="1:26" s="9" customFormat="1" ht="15.75">
      <c r="A1561" s="62" t="s">
        <v>21</v>
      </c>
      <c r="B1561" s="24">
        <f t="shared" ref="B1561:G1561" si="2427">SUM(B1537:B1560)</f>
        <v>22748</v>
      </c>
      <c r="C1561" s="24">
        <f t="shared" si="2427"/>
        <v>19410</v>
      </c>
      <c r="D1561" s="24">
        <f t="shared" si="2427"/>
        <v>20168</v>
      </c>
      <c r="E1561" s="24">
        <f t="shared" si="2427"/>
        <v>14848</v>
      </c>
      <c r="F1561" s="24">
        <f t="shared" si="2427"/>
        <v>13984</v>
      </c>
      <c r="G1561" s="24">
        <f t="shared" si="2427"/>
        <v>18144</v>
      </c>
      <c r="H1561" s="24">
        <f t="shared" ref="H1561:J1561" si="2428">SUM(H1537:H1560)</f>
        <v>22654</v>
      </c>
      <c r="I1561" s="24">
        <f t="shared" si="2428"/>
        <v>23226</v>
      </c>
      <c r="J1561" s="24">
        <f t="shared" si="2428"/>
        <v>22830</v>
      </c>
      <c r="K1561" s="24">
        <f t="shared" ref="K1561:L1561" si="2429">SUM(K1537:K1560)</f>
        <v>23323</v>
      </c>
      <c r="L1561" s="24">
        <f t="shared" si="2429"/>
        <v>22760</v>
      </c>
      <c r="M1561" s="24">
        <f t="shared" ref="M1561" si="2430">SUM(M1537:M1560)</f>
        <v>20703</v>
      </c>
      <c r="N1561" s="144">
        <f>SUM(N1537:N1560)</f>
        <v>244798</v>
      </c>
      <c r="O1561" s="25">
        <f>SUM(O1537:O1559)</f>
        <v>20374.250000000004</v>
      </c>
      <c r="P1561" s="103"/>
      <c r="Q1561" s="103"/>
      <c r="R1561" s="103"/>
      <c r="S1561" s="103"/>
      <c r="T1561" s="103"/>
      <c r="U1561" s="103"/>
      <c r="V1561" s="103"/>
      <c r="W1561" s="103"/>
      <c r="X1561" s="103"/>
      <c r="Y1561" s="103"/>
      <c r="Z1561" s="103"/>
    </row>
    <row r="1562" spans="1:26" s="9" customFormat="1" ht="15.75">
      <c r="A1562" s="380"/>
      <c r="B1562" s="354"/>
      <c r="C1562" s="354"/>
      <c r="D1562" s="354"/>
      <c r="E1562" s="354"/>
      <c r="F1562" s="354"/>
      <c r="G1562" s="354"/>
      <c r="H1562" s="354"/>
      <c r="I1562" s="354"/>
      <c r="J1562" s="354"/>
      <c r="K1562" s="354"/>
      <c r="L1562" s="354"/>
      <c r="M1562" s="354"/>
      <c r="N1562" s="166"/>
      <c r="O1562" s="355"/>
      <c r="P1562" s="103"/>
      <c r="Q1562" s="103"/>
      <c r="R1562" s="103"/>
      <c r="S1562" s="103"/>
      <c r="T1562" s="103"/>
      <c r="U1562" s="103"/>
      <c r="V1562" s="103"/>
      <c r="W1562" s="103"/>
      <c r="X1562" s="103"/>
      <c r="Y1562" s="103"/>
      <c r="Z1562" s="103"/>
    </row>
    <row r="1563" spans="1:26" s="9" customFormat="1" ht="15.75">
      <c r="A1563" s="17" t="s">
        <v>809</v>
      </c>
      <c r="B1563" s="30"/>
      <c r="C1563" s="30"/>
      <c r="D1563" s="30"/>
      <c r="E1563" s="30"/>
      <c r="F1563" s="30"/>
      <c r="G1563" s="30"/>
      <c r="H1563" s="30"/>
      <c r="I1563" s="30"/>
      <c r="J1563" s="30"/>
      <c r="K1563" s="30"/>
      <c r="L1563" s="30"/>
      <c r="M1563" s="30"/>
      <c r="N1563" s="152"/>
      <c r="O1563" s="31"/>
      <c r="P1563" s="103"/>
      <c r="Q1563" s="103"/>
      <c r="R1563" s="103"/>
      <c r="S1563" s="103"/>
      <c r="T1563" s="103"/>
      <c r="U1563" s="103"/>
      <c r="V1563" s="103"/>
      <c r="W1563" s="103"/>
      <c r="X1563" s="103"/>
      <c r="Y1563" s="103"/>
      <c r="Z1563" s="103"/>
    </row>
    <row r="1564" spans="1:26" s="9" customFormat="1" ht="15.75">
      <c r="A1564" s="66" t="s">
        <v>606</v>
      </c>
      <c r="B1564" s="81"/>
      <c r="C1564" s="81"/>
      <c r="D1564" s="81"/>
      <c r="E1564" s="81"/>
      <c r="F1564" s="81"/>
      <c r="G1564" s="81"/>
      <c r="H1564" s="81"/>
      <c r="I1564" s="81"/>
      <c r="J1564" s="81"/>
      <c r="K1564" s="81"/>
      <c r="L1564" s="81"/>
      <c r="M1564" s="81"/>
      <c r="N1564" s="165"/>
      <c r="O1564" s="82"/>
      <c r="P1564" s="103"/>
      <c r="Q1564" s="103"/>
      <c r="R1564" s="103"/>
      <c r="S1564" s="103"/>
      <c r="T1564" s="103"/>
      <c r="U1564" s="103"/>
      <c r="V1564" s="103"/>
      <c r="W1564" s="103"/>
      <c r="X1564" s="103"/>
      <c r="Y1564" s="103"/>
      <c r="Z1564" s="103"/>
    </row>
    <row r="1565" spans="1:26" s="9" customFormat="1" ht="15.75">
      <c r="A1565" s="40" t="s">
        <v>144</v>
      </c>
      <c r="B1565" s="21">
        <f t="shared" ref="B1565:G1565" si="2431">B687</f>
        <v>122</v>
      </c>
      <c r="C1565" s="21">
        <f t="shared" si="2431"/>
        <v>71</v>
      </c>
      <c r="D1565" s="21">
        <f t="shared" si="2431"/>
        <v>113</v>
      </c>
      <c r="E1565" s="21">
        <f t="shared" si="2431"/>
        <v>72</v>
      </c>
      <c r="F1565" s="21">
        <f t="shared" si="2431"/>
        <v>15</v>
      </c>
      <c r="G1565" s="21">
        <f t="shared" si="2431"/>
        <v>31</v>
      </c>
      <c r="H1565" s="21">
        <f t="shared" ref="H1565:I1565" si="2432">H687</f>
        <v>54</v>
      </c>
      <c r="I1565" s="21">
        <f t="shared" si="2432"/>
        <v>71</v>
      </c>
      <c r="J1565" s="21">
        <f t="shared" ref="J1565:K1565" si="2433">J687</f>
        <v>72</v>
      </c>
      <c r="K1565" s="21">
        <f t="shared" si="2433"/>
        <v>114</v>
      </c>
      <c r="L1565" s="21">
        <f t="shared" ref="L1565:M1565" si="2434">L687</f>
        <v>105</v>
      </c>
      <c r="M1565" s="21">
        <f t="shared" si="2434"/>
        <v>167</v>
      </c>
      <c r="N1565" s="150">
        <f>SUM(B1565:M1565)</f>
        <v>1007</v>
      </c>
      <c r="O1565" s="22">
        <f>IFERROR(AVERAGE(B1565:M1565),"")</f>
        <v>83.916666666666671</v>
      </c>
      <c r="P1565" s="103"/>
      <c r="Q1565" s="103"/>
      <c r="R1565" s="103"/>
      <c r="S1565" s="103"/>
      <c r="T1565" s="103"/>
      <c r="U1565" s="103"/>
      <c r="V1565" s="103"/>
      <c r="W1565" s="103"/>
      <c r="X1565" s="103"/>
      <c r="Y1565" s="103"/>
      <c r="Z1565" s="103"/>
    </row>
    <row r="1566" spans="1:26" s="9" customFormat="1" ht="15.75">
      <c r="A1566" s="40" t="s">
        <v>723</v>
      </c>
      <c r="B1566" s="21">
        <f t="shared" ref="B1566:G1566" si="2435">B705</f>
        <v>0</v>
      </c>
      <c r="C1566" s="21">
        <f t="shared" si="2435"/>
        <v>0</v>
      </c>
      <c r="D1566" s="21">
        <f t="shared" si="2435"/>
        <v>0</v>
      </c>
      <c r="E1566" s="21">
        <f t="shared" si="2435"/>
        <v>0</v>
      </c>
      <c r="F1566" s="21">
        <f t="shared" si="2435"/>
        <v>0</v>
      </c>
      <c r="G1566" s="21">
        <f t="shared" si="2435"/>
        <v>0</v>
      </c>
      <c r="H1566" s="21">
        <f t="shared" ref="H1566:I1566" si="2436">H705</f>
        <v>0</v>
      </c>
      <c r="I1566" s="21">
        <f t="shared" si="2436"/>
        <v>0</v>
      </c>
      <c r="J1566" s="21">
        <f t="shared" ref="J1566:K1566" si="2437">J705</f>
        <v>0</v>
      </c>
      <c r="K1566" s="21">
        <f t="shared" si="2437"/>
        <v>0</v>
      </c>
      <c r="L1566" s="21">
        <f t="shared" ref="L1566:M1566" si="2438">L705</f>
        <v>0</v>
      </c>
      <c r="M1566" s="21">
        <f t="shared" si="2438"/>
        <v>0</v>
      </c>
      <c r="N1566" s="150">
        <f>SUM(B1566:M1566)</f>
        <v>0</v>
      </c>
      <c r="O1566" s="22">
        <f t="shared" ref="O1566:O1589" si="2439">IFERROR(AVERAGE(B1566:M1566),"")</f>
        <v>0</v>
      </c>
      <c r="P1566" s="103"/>
      <c r="Q1566" s="103"/>
      <c r="R1566" s="103"/>
      <c r="S1566" s="103"/>
      <c r="T1566" s="103"/>
      <c r="U1566" s="103"/>
      <c r="V1566" s="103"/>
      <c r="W1566" s="103"/>
      <c r="X1566" s="103"/>
      <c r="Y1566" s="103"/>
      <c r="Z1566" s="103"/>
    </row>
    <row r="1567" spans="1:26" s="9" customFormat="1" ht="15.75">
      <c r="A1567" s="40" t="s">
        <v>607</v>
      </c>
      <c r="B1567" s="21">
        <f t="shared" ref="B1567:G1567" si="2440">B722</f>
        <v>0</v>
      </c>
      <c r="C1567" s="21">
        <f t="shared" si="2440"/>
        <v>0</v>
      </c>
      <c r="D1567" s="21">
        <f t="shared" si="2440"/>
        <v>0</v>
      </c>
      <c r="E1567" s="21">
        <f t="shared" si="2440"/>
        <v>0</v>
      </c>
      <c r="F1567" s="21">
        <f t="shared" si="2440"/>
        <v>0</v>
      </c>
      <c r="G1567" s="21">
        <f t="shared" si="2440"/>
        <v>0</v>
      </c>
      <c r="H1567" s="21">
        <f t="shared" ref="H1567:I1567" si="2441">H722</f>
        <v>0</v>
      </c>
      <c r="I1567" s="21">
        <f t="shared" si="2441"/>
        <v>0</v>
      </c>
      <c r="J1567" s="21">
        <f t="shared" ref="J1567:K1567" si="2442">J722</f>
        <v>0</v>
      </c>
      <c r="K1567" s="21">
        <f t="shared" si="2442"/>
        <v>0</v>
      </c>
      <c r="L1567" s="21">
        <f t="shared" ref="L1567:M1567" si="2443">L722</f>
        <v>0</v>
      </c>
      <c r="M1567" s="21">
        <f t="shared" si="2443"/>
        <v>0</v>
      </c>
      <c r="N1567" s="150">
        <f>SUM(B1567:M1567)</f>
        <v>0</v>
      </c>
      <c r="O1567" s="22">
        <f t="shared" si="2439"/>
        <v>0</v>
      </c>
      <c r="P1567" s="103"/>
      <c r="Q1567" s="103"/>
      <c r="R1567" s="103"/>
      <c r="S1567" s="103"/>
      <c r="T1567" s="103"/>
      <c r="U1567" s="103"/>
      <c r="V1567" s="103"/>
      <c r="W1567" s="103"/>
      <c r="X1567" s="103"/>
      <c r="Y1567" s="103"/>
      <c r="Z1567" s="103"/>
    </row>
    <row r="1568" spans="1:26" s="9" customFormat="1" ht="15.75">
      <c r="A1568" s="40" t="s">
        <v>310</v>
      </c>
      <c r="B1568" s="21">
        <f t="shared" ref="B1568:G1568" si="2444">B739</f>
        <v>8</v>
      </c>
      <c r="C1568" s="21">
        <f t="shared" si="2444"/>
        <v>1</v>
      </c>
      <c r="D1568" s="21">
        <f t="shared" si="2444"/>
        <v>2</v>
      </c>
      <c r="E1568" s="21">
        <f t="shared" si="2444"/>
        <v>3</v>
      </c>
      <c r="F1568" s="21">
        <f t="shared" si="2444"/>
        <v>0</v>
      </c>
      <c r="G1568" s="21">
        <f t="shared" si="2444"/>
        <v>4</v>
      </c>
      <c r="H1568" s="21">
        <f t="shared" ref="H1568:I1568" si="2445">H739</f>
        <v>4</v>
      </c>
      <c r="I1568" s="21">
        <f t="shared" si="2445"/>
        <v>1</v>
      </c>
      <c r="J1568" s="21">
        <f t="shared" ref="J1568:K1568" si="2446">J739</f>
        <v>2</v>
      </c>
      <c r="K1568" s="21">
        <f t="shared" si="2446"/>
        <v>1</v>
      </c>
      <c r="L1568" s="21">
        <f t="shared" ref="L1568:M1568" si="2447">L739</f>
        <v>0</v>
      </c>
      <c r="M1568" s="21">
        <f t="shared" si="2447"/>
        <v>4</v>
      </c>
      <c r="N1568" s="150">
        <f t="shared" ref="N1568:N1587" si="2448">SUM(B1568:M1568)</f>
        <v>30</v>
      </c>
      <c r="O1568" s="22">
        <f t="shared" si="2439"/>
        <v>2.5</v>
      </c>
      <c r="P1568" s="103"/>
      <c r="Q1568" s="103"/>
      <c r="R1568" s="103"/>
      <c r="S1568" s="103"/>
      <c r="T1568" s="103"/>
      <c r="U1568" s="103"/>
      <c r="V1568" s="103"/>
      <c r="W1568" s="103"/>
      <c r="X1568" s="103"/>
      <c r="Y1568" s="103"/>
      <c r="Z1568" s="103"/>
    </row>
    <row r="1569" spans="1:26" s="9" customFormat="1" ht="30">
      <c r="A1569" s="40" t="s">
        <v>594</v>
      </c>
      <c r="B1569" s="21">
        <f t="shared" ref="B1569:G1569" si="2449">B762</f>
        <v>3</v>
      </c>
      <c r="C1569" s="21">
        <f t="shared" si="2449"/>
        <v>3</v>
      </c>
      <c r="D1569" s="21">
        <f t="shared" si="2449"/>
        <v>1</v>
      </c>
      <c r="E1569" s="21">
        <f t="shared" si="2449"/>
        <v>5</v>
      </c>
      <c r="F1569" s="21">
        <f t="shared" si="2449"/>
        <v>0</v>
      </c>
      <c r="G1569" s="21">
        <f t="shared" si="2449"/>
        <v>5</v>
      </c>
      <c r="H1569" s="21">
        <f t="shared" ref="H1569:I1569" si="2450">H762</f>
        <v>5</v>
      </c>
      <c r="I1569" s="21">
        <f t="shared" si="2450"/>
        <v>3</v>
      </c>
      <c r="J1569" s="21">
        <f t="shared" ref="J1569:K1569" si="2451">J762</f>
        <v>5</v>
      </c>
      <c r="K1569" s="21">
        <f t="shared" si="2451"/>
        <v>2</v>
      </c>
      <c r="L1569" s="21">
        <f t="shared" ref="L1569:M1569" si="2452">L762</f>
        <v>7</v>
      </c>
      <c r="M1569" s="21">
        <f t="shared" si="2452"/>
        <v>7</v>
      </c>
      <c r="N1569" s="150">
        <f>SUM(B1569:M1569)</f>
        <v>46</v>
      </c>
      <c r="O1569" s="22">
        <f t="shared" si="2439"/>
        <v>3.8333333333333335</v>
      </c>
      <c r="P1569" s="103"/>
      <c r="Q1569" s="103"/>
      <c r="R1569" s="103"/>
      <c r="S1569" s="103"/>
      <c r="T1569" s="103"/>
      <c r="U1569" s="103"/>
      <c r="V1569" s="103"/>
      <c r="W1569" s="103"/>
      <c r="X1569" s="103"/>
      <c r="Y1569" s="103"/>
      <c r="Z1569" s="103"/>
    </row>
    <row r="1570" spans="1:26" s="9" customFormat="1" ht="15.75">
      <c r="A1570" s="40" t="s">
        <v>182</v>
      </c>
      <c r="B1570" s="21">
        <f t="shared" ref="B1570:G1570" si="2453">B877+B880</f>
        <v>7</v>
      </c>
      <c r="C1570" s="21">
        <f t="shared" si="2453"/>
        <v>3</v>
      </c>
      <c r="D1570" s="21">
        <f t="shared" si="2453"/>
        <v>3</v>
      </c>
      <c r="E1570" s="21">
        <f t="shared" si="2453"/>
        <v>1</v>
      </c>
      <c r="F1570" s="21">
        <f t="shared" si="2453"/>
        <v>2</v>
      </c>
      <c r="G1570" s="21">
        <f t="shared" si="2453"/>
        <v>5</v>
      </c>
      <c r="H1570" s="21">
        <f t="shared" ref="H1570:I1570" si="2454">H877+H880</f>
        <v>7</v>
      </c>
      <c r="I1570" s="21">
        <f t="shared" si="2454"/>
        <v>2</v>
      </c>
      <c r="J1570" s="21">
        <f t="shared" ref="J1570:K1570" si="2455">J877+J880</f>
        <v>7</v>
      </c>
      <c r="K1570" s="21">
        <f t="shared" si="2455"/>
        <v>3</v>
      </c>
      <c r="L1570" s="21">
        <f t="shared" ref="L1570:M1570" si="2456">L877+L880</f>
        <v>3</v>
      </c>
      <c r="M1570" s="21">
        <f t="shared" si="2456"/>
        <v>1</v>
      </c>
      <c r="N1570" s="150">
        <f t="shared" si="2448"/>
        <v>44</v>
      </c>
      <c r="O1570" s="22">
        <f t="shared" si="2439"/>
        <v>3.6666666666666665</v>
      </c>
      <c r="P1570" s="103"/>
      <c r="Q1570" s="103"/>
      <c r="R1570" s="103"/>
      <c r="S1570" s="103"/>
      <c r="T1570" s="103"/>
      <c r="U1570" s="103"/>
      <c r="V1570" s="103"/>
      <c r="W1570" s="103"/>
      <c r="X1570" s="103"/>
      <c r="Y1570" s="103"/>
      <c r="Z1570" s="103"/>
    </row>
    <row r="1571" spans="1:26" s="9" customFormat="1" ht="15.75">
      <c r="A1571" s="40" t="s">
        <v>303</v>
      </c>
      <c r="B1571" s="21">
        <f t="shared" ref="B1571:G1571" si="2457">B779</f>
        <v>0</v>
      </c>
      <c r="C1571" s="21">
        <f t="shared" si="2457"/>
        <v>0</v>
      </c>
      <c r="D1571" s="21">
        <f t="shared" si="2457"/>
        <v>0</v>
      </c>
      <c r="E1571" s="21">
        <f t="shared" si="2457"/>
        <v>0</v>
      </c>
      <c r="F1571" s="21">
        <f t="shared" si="2457"/>
        <v>0</v>
      </c>
      <c r="G1571" s="21">
        <f t="shared" si="2457"/>
        <v>0</v>
      </c>
      <c r="H1571" s="21">
        <f t="shared" ref="H1571:I1571" si="2458">H779</f>
        <v>0</v>
      </c>
      <c r="I1571" s="21">
        <f t="shared" si="2458"/>
        <v>0</v>
      </c>
      <c r="J1571" s="21">
        <f t="shared" ref="J1571:K1571" si="2459">J779</f>
        <v>0</v>
      </c>
      <c r="K1571" s="21">
        <f t="shared" si="2459"/>
        <v>0</v>
      </c>
      <c r="L1571" s="21">
        <f t="shared" ref="L1571:M1571" si="2460">L779</f>
        <v>0</v>
      </c>
      <c r="M1571" s="21">
        <f t="shared" si="2460"/>
        <v>0</v>
      </c>
      <c r="N1571" s="150">
        <f t="shared" si="2448"/>
        <v>0</v>
      </c>
      <c r="O1571" s="22">
        <f t="shared" si="2439"/>
        <v>0</v>
      </c>
      <c r="P1571" s="103"/>
      <c r="Q1571" s="103"/>
      <c r="R1571" s="103"/>
      <c r="S1571" s="103"/>
      <c r="T1571" s="103"/>
      <c r="U1571" s="103"/>
      <c r="V1571" s="103"/>
      <c r="W1571" s="103"/>
      <c r="X1571" s="103"/>
      <c r="Y1571" s="103"/>
      <c r="Z1571" s="103"/>
    </row>
    <row r="1572" spans="1:26" s="9" customFormat="1" ht="15.75">
      <c r="A1572" s="40" t="s">
        <v>315</v>
      </c>
      <c r="B1572" s="21">
        <f t="shared" ref="B1572:G1572" si="2461">B796</f>
        <v>32</v>
      </c>
      <c r="C1572" s="21">
        <f t="shared" si="2461"/>
        <v>21</v>
      </c>
      <c r="D1572" s="21">
        <f t="shared" si="2461"/>
        <v>24</v>
      </c>
      <c r="E1572" s="21">
        <f t="shared" si="2461"/>
        <v>11</v>
      </c>
      <c r="F1572" s="21">
        <f t="shared" si="2461"/>
        <v>17</v>
      </c>
      <c r="G1572" s="21">
        <f t="shared" si="2461"/>
        <v>14</v>
      </c>
      <c r="H1572" s="21">
        <f t="shared" ref="H1572:I1572" si="2462">H796</f>
        <v>0</v>
      </c>
      <c r="I1572" s="21">
        <f t="shared" si="2462"/>
        <v>20</v>
      </c>
      <c r="J1572" s="21">
        <f t="shared" ref="J1572:K1572" si="2463">J796</f>
        <v>18</v>
      </c>
      <c r="K1572" s="21">
        <f t="shared" si="2463"/>
        <v>16</v>
      </c>
      <c r="L1572" s="21">
        <f t="shared" ref="L1572:M1572" si="2464">L796</f>
        <v>4</v>
      </c>
      <c r="M1572" s="21">
        <f t="shared" si="2464"/>
        <v>0</v>
      </c>
      <c r="N1572" s="150">
        <f t="shared" si="2448"/>
        <v>177</v>
      </c>
      <c r="O1572" s="22">
        <f t="shared" si="2439"/>
        <v>14.75</v>
      </c>
      <c r="P1572" s="103"/>
      <c r="Q1572" s="103"/>
      <c r="R1572" s="103"/>
      <c r="S1572" s="103"/>
      <c r="T1572" s="103"/>
      <c r="U1572" s="103"/>
      <c r="V1572" s="103"/>
      <c r="W1572" s="103"/>
      <c r="X1572" s="103"/>
      <c r="Y1572" s="103"/>
      <c r="Z1572" s="103"/>
    </row>
    <row r="1573" spans="1:26" s="9" customFormat="1" ht="15.75">
      <c r="A1573" s="40" t="s">
        <v>195</v>
      </c>
      <c r="B1573" s="21">
        <f t="shared" ref="B1573:G1573" si="2465">B813</f>
        <v>112</v>
      </c>
      <c r="C1573" s="21">
        <f t="shared" si="2465"/>
        <v>120</v>
      </c>
      <c r="D1573" s="21">
        <f t="shared" si="2465"/>
        <v>75</v>
      </c>
      <c r="E1573" s="21">
        <f t="shared" si="2465"/>
        <v>73</v>
      </c>
      <c r="F1573" s="21">
        <f t="shared" si="2465"/>
        <v>62</v>
      </c>
      <c r="G1573" s="21">
        <f t="shared" si="2465"/>
        <v>79</v>
      </c>
      <c r="H1573" s="21">
        <f t="shared" ref="H1573:I1573" si="2466">H813</f>
        <v>98</v>
      </c>
      <c r="I1573" s="21">
        <f t="shared" si="2466"/>
        <v>156</v>
      </c>
      <c r="J1573" s="21">
        <f t="shared" ref="J1573:K1573" si="2467">J813</f>
        <v>158</v>
      </c>
      <c r="K1573" s="21">
        <f t="shared" si="2467"/>
        <v>181</v>
      </c>
      <c r="L1573" s="21">
        <f t="shared" ref="L1573:M1573" si="2468">L813</f>
        <v>210</v>
      </c>
      <c r="M1573" s="21">
        <f t="shared" si="2468"/>
        <v>189</v>
      </c>
      <c r="N1573" s="150">
        <f t="shared" si="2448"/>
        <v>1513</v>
      </c>
      <c r="O1573" s="22">
        <f t="shared" si="2439"/>
        <v>126.08333333333333</v>
      </c>
      <c r="P1573" s="103"/>
      <c r="Q1573" s="103"/>
      <c r="R1573" s="103"/>
      <c r="S1573" s="103"/>
      <c r="T1573" s="103"/>
      <c r="U1573" s="103"/>
      <c r="V1573" s="103"/>
      <c r="W1573" s="103"/>
      <c r="X1573" s="103"/>
      <c r="Y1573" s="103"/>
      <c r="Z1573" s="103"/>
    </row>
    <row r="1574" spans="1:26" s="9" customFormat="1" ht="15.75">
      <c r="A1574" s="37" t="s">
        <v>30</v>
      </c>
      <c r="B1574" s="21">
        <f t="shared" ref="B1574:G1574" si="2469">B861</f>
        <v>14</v>
      </c>
      <c r="C1574" s="21">
        <f t="shared" si="2469"/>
        <v>17</v>
      </c>
      <c r="D1574" s="21">
        <f t="shared" si="2469"/>
        <v>12</v>
      </c>
      <c r="E1574" s="21">
        <f t="shared" si="2469"/>
        <v>8</v>
      </c>
      <c r="F1574" s="21">
        <f t="shared" si="2469"/>
        <v>10</v>
      </c>
      <c r="G1574" s="21">
        <f t="shared" si="2469"/>
        <v>15</v>
      </c>
      <c r="H1574" s="21">
        <f t="shared" ref="H1574:I1574" si="2470">H861</f>
        <v>15</v>
      </c>
      <c r="I1574" s="21">
        <f t="shared" si="2470"/>
        <v>15</v>
      </c>
      <c r="J1574" s="21">
        <f t="shared" ref="J1574:K1574" si="2471">J861</f>
        <v>36</v>
      </c>
      <c r="K1574" s="21">
        <f t="shared" si="2471"/>
        <v>13</v>
      </c>
      <c r="L1574" s="21">
        <f t="shared" ref="L1574:M1574" si="2472">L861</f>
        <v>12</v>
      </c>
      <c r="M1574" s="21">
        <f t="shared" si="2472"/>
        <v>14</v>
      </c>
      <c r="N1574" s="150">
        <f t="shared" si="2448"/>
        <v>181</v>
      </c>
      <c r="O1574" s="22">
        <f t="shared" si="2439"/>
        <v>15.083333333333334</v>
      </c>
      <c r="P1574" s="103"/>
      <c r="Q1574" s="103"/>
      <c r="R1574" s="103"/>
      <c r="S1574" s="103"/>
      <c r="T1574" s="103"/>
      <c r="U1574" s="103"/>
      <c r="V1574" s="103"/>
      <c r="W1574" s="103"/>
      <c r="X1574" s="103"/>
      <c r="Y1574" s="103"/>
      <c r="Z1574" s="103"/>
    </row>
    <row r="1575" spans="1:26" s="9" customFormat="1" ht="15.75">
      <c r="A1575" s="37" t="s">
        <v>406</v>
      </c>
      <c r="B1575" s="21">
        <f t="shared" ref="B1575:G1575" si="2473">B922</f>
        <v>0</v>
      </c>
      <c r="C1575" s="21">
        <f t="shared" si="2473"/>
        <v>0</v>
      </c>
      <c r="D1575" s="21">
        <f t="shared" si="2473"/>
        <v>0</v>
      </c>
      <c r="E1575" s="21">
        <f t="shared" si="2473"/>
        <v>0</v>
      </c>
      <c r="F1575" s="21">
        <f t="shared" si="2473"/>
        <v>0</v>
      </c>
      <c r="G1575" s="21">
        <f t="shared" si="2473"/>
        <v>0</v>
      </c>
      <c r="H1575" s="21">
        <f t="shared" ref="H1575:I1575" si="2474">H922</f>
        <v>0</v>
      </c>
      <c r="I1575" s="21">
        <f t="shared" si="2474"/>
        <v>0</v>
      </c>
      <c r="J1575" s="21">
        <f t="shared" ref="J1575:K1575" si="2475">J922</f>
        <v>0</v>
      </c>
      <c r="K1575" s="21">
        <f t="shared" si="2475"/>
        <v>0</v>
      </c>
      <c r="L1575" s="21">
        <f t="shared" ref="L1575:M1575" si="2476">L922</f>
        <v>0</v>
      </c>
      <c r="M1575" s="21">
        <f t="shared" si="2476"/>
        <v>0</v>
      </c>
      <c r="N1575" s="150">
        <f t="shared" si="2448"/>
        <v>0</v>
      </c>
      <c r="O1575" s="22">
        <f t="shared" si="2439"/>
        <v>0</v>
      </c>
      <c r="P1575" s="103"/>
      <c r="Q1575" s="103"/>
      <c r="R1575" s="103"/>
      <c r="S1575" s="103"/>
      <c r="T1575" s="103"/>
      <c r="U1575" s="103"/>
      <c r="V1575" s="103"/>
      <c r="W1575" s="103"/>
      <c r="X1575" s="103"/>
      <c r="Y1575" s="103"/>
      <c r="Z1575" s="103"/>
    </row>
    <row r="1576" spans="1:26" s="9" customFormat="1" ht="15.75">
      <c r="A1576" s="40" t="s">
        <v>316</v>
      </c>
      <c r="B1576" s="21">
        <f t="shared" ref="B1576:G1576" si="2477">B939</f>
        <v>0</v>
      </c>
      <c r="C1576" s="21">
        <f t="shared" si="2477"/>
        <v>0</v>
      </c>
      <c r="D1576" s="21">
        <f t="shared" si="2477"/>
        <v>0</v>
      </c>
      <c r="E1576" s="21">
        <f t="shared" si="2477"/>
        <v>0</v>
      </c>
      <c r="F1576" s="21">
        <f t="shared" si="2477"/>
        <v>0</v>
      </c>
      <c r="G1576" s="21">
        <f t="shared" si="2477"/>
        <v>0</v>
      </c>
      <c r="H1576" s="21">
        <f t="shared" ref="H1576:I1576" si="2478">H939</f>
        <v>0</v>
      </c>
      <c r="I1576" s="21">
        <f t="shared" si="2478"/>
        <v>0</v>
      </c>
      <c r="J1576" s="21">
        <f t="shared" ref="J1576:K1576" si="2479">J939</f>
        <v>0</v>
      </c>
      <c r="K1576" s="21">
        <f t="shared" si="2479"/>
        <v>0</v>
      </c>
      <c r="L1576" s="21">
        <f t="shared" ref="L1576:M1576" si="2480">L939</f>
        <v>0</v>
      </c>
      <c r="M1576" s="21">
        <f t="shared" si="2480"/>
        <v>0</v>
      </c>
      <c r="N1576" s="150">
        <f t="shared" si="2448"/>
        <v>0</v>
      </c>
      <c r="O1576" s="22">
        <f t="shared" si="2439"/>
        <v>0</v>
      </c>
      <c r="P1576" s="103"/>
      <c r="Q1576" s="103"/>
      <c r="R1576" s="103"/>
      <c r="S1576" s="103"/>
      <c r="T1576" s="103"/>
      <c r="U1576" s="103"/>
      <c r="V1576" s="103"/>
      <c r="W1576" s="103"/>
      <c r="X1576" s="103"/>
      <c r="Y1576" s="103"/>
      <c r="Z1576" s="103"/>
    </row>
    <row r="1577" spans="1:26" s="9" customFormat="1" ht="15.75">
      <c r="A1577" s="70" t="s">
        <v>393</v>
      </c>
      <c r="B1577" s="71">
        <f t="shared" ref="B1577:G1577" si="2481">B969</f>
        <v>8744</v>
      </c>
      <c r="C1577" s="71">
        <f t="shared" si="2481"/>
        <v>7011</v>
      </c>
      <c r="D1577" s="71">
        <f t="shared" si="2481"/>
        <v>6317</v>
      </c>
      <c r="E1577" s="71">
        <f t="shared" si="2481"/>
        <v>5939</v>
      </c>
      <c r="F1577" s="71">
        <f t="shared" si="2481"/>
        <v>6027</v>
      </c>
      <c r="G1577" s="71">
        <f t="shared" si="2481"/>
        <v>6076</v>
      </c>
      <c r="H1577" s="71">
        <f t="shared" ref="H1577:I1577" si="2482">H969</f>
        <v>8882</v>
      </c>
      <c r="I1577" s="71">
        <f t="shared" si="2482"/>
        <v>8806</v>
      </c>
      <c r="J1577" s="71">
        <f t="shared" ref="J1577:K1577" si="2483">J969</f>
        <v>8209</v>
      </c>
      <c r="K1577" s="71">
        <f t="shared" si="2483"/>
        <v>6151</v>
      </c>
      <c r="L1577" s="71">
        <f t="shared" ref="L1577:M1577" si="2484">L969</f>
        <v>6091</v>
      </c>
      <c r="M1577" s="71">
        <f t="shared" si="2484"/>
        <v>5992</v>
      </c>
      <c r="N1577" s="162">
        <f t="shared" si="2448"/>
        <v>84245</v>
      </c>
      <c r="O1577" s="22">
        <f t="shared" si="2439"/>
        <v>7020.416666666667</v>
      </c>
      <c r="P1577" s="103"/>
      <c r="Q1577" s="103"/>
      <c r="R1577" s="103"/>
      <c r="S1577" s="103"/>
      <c r="T1577" s="103"/>
      <c r="U1577" s="103"/>
      <c r="V1577" s="103"/>
      <c r="W1577" s="103"/>
      <c r="X1577" s="103"/>
      <c r="Y1577" s="103"/>
      <c r="Z1577" s="103"/>
    </row>
    <row r="1578" spans="1:26" s="9" customFormat="1" ht="15.75">
      <c r="A1578" s="44" t="s">
        <v>309</v>
      </c>
      <c r="B1578" s="38">
        <f t="shared" ref="B1578:G1578" si="2485">B986</f>
        <v>0</v>
      </c>
      <c r="C1578" s="38">
        <f t="shared" si="2485"/>
        <v>0</v>
      </c>
      <c r="D1578" s="38">
        <f t="shared" si="2485"/>
        <v>0</v>
      </c>
      <c r="E1578" s="38">
        <f t="shared" si="2485"/>
        <v>0</v>
      </c>
      <c r="F1578" s="38">
        <f t="shared" si="2485"/>
        <v>0</v>
      </c>
      <c r="G1578" s="38">
        <f t="shared" si="2485"/>
        <v>0</v>
      </c>
      <c r="H1578" s="38">
        <f t="shared" ref="H1578:I1578" si="2486">H986</f>
        <v>0</v>
      </c>
      <c r="I1578" s="38">
        <f t="shared" si="2486"/>
        <v>0</v>
      </c>
      <c r="J1578" s="38">
        <f t="shared" ref="J1578:K1578" si="2487">J986</f>
        <v>0</v>
      </c>
      <c r="K1578" s="38">
        <f t="shared" si="2487"/>
        <v>0</v>
      </c>
      <c r="L1578" s="38">
        <f t="shared" ref="L1578:M1578" si="2488">L986</f>
        <v>0</v>
      </c>
      <c r="M1578" s="38">
        <f t="shared" si="2488"/>
        <v>0</v>
      </c>
      <c r="N1578" s="155">
        <f t="shared" si="2448"/>
        <v>0</v>
      </c>
      <c r="O1578" s="22">
        <f t="shared" si="2439"/>
        <v>0</v>
      </c>
      <c r="P1578" s="103"/>
      <c r="Q1578" s="103"/>
      <c r="R1578" s="103"/>
      <c r="S1578" s="103"/>
      <c r="T1578" s="103"/>
      <c r="U1578" s="103"/>
      <c r="V1578" s="103"/>
      <c r="W1578" s="103"/>
      <c r="X1578" s="103"/>
      <c r="Y1578" s="103"/>
      <c r="Z1578" s="103"/>
    </row>
    <row r="1579" spans="1:26" s="9" customFormat="1" ht="15.75">
      <c r="A1579" s="268" t="s">
        <v>407</v>
      </c>
      <c r="B1579" s="39">
        <f t="shared" ref="B1579:G1579" si="2489">B1036</f>
        <v>0</v>
      </c>
      <c r="C1579" s="39">
        <f t="shared" si="2489"/>
        <v>0</v>
      </c>
      <c r="D1579" s="39">
        <f t="shared" si="2489"/>
        <v>0</v>
      </c>
      <c r="E1579" s="39">
        <f t="shared" si="2489"/>
        <v>0</v>
      </c>
      <c r="F1579" s="39">
        <f t="shared" si="2489"/>
        <v>0</v>
      </c>
      <c r="G1579" s="39">
        <f t="shared" si="2489"/>
        <v>0</v>
      </c>
      <c r="H1579" s="39">
        <f t="shared" ref="H1579:I1579" si="2490">H1036</f>
        <v>0</v>
      </c>
      <c r="I1579" s="39">
        <f t="shared" si="2490"/>
        <v>0</v>
      </c>
      <c r="J1579" s="39">
        <f t="shared" ref="J1579:K1579" si="2491">J1036</f>
        <v>0</v>
      </c>
      <c r="K1579" s="39">
        <f t="shared" si="2491"/>
        <v>0</v>
      </c>
      <c r="L1579" s="39">
        <f t="shared" ref="L1579:M1579" si="2492">L1036</f>
        <v>0</v>
      </c>
      <c r="M1579" s="39">
        <f t="shared" si="2492"/>
        <v>0</v>
      </c>
      <c r="N1579" s="174">
        <f t="shared" si="2448"/>
        <v>0</v>
      </c>
      <c r="O1579" s="22">
        <f t="shared" si="2439"/>
        <v>0</v>
      </c>
      <c r="P1579" s="103"/>
      <c r="Q1579" s="103"/>
      <c r="R1579" s="103"/>
      <c r="S1579" s="103"/>
      <c r="T1579" s="103"/>
      <c r="U1579" s="103"/>
      <c r="V1579" s="103"/>
      <c r="W1579" s="103"/>
      <c r="X1579" s="103"/>
      <c r="Y1579" s="103"/>
      <c r="Z1579" s="103"/>
    </row>
    <row r="1580" spans="1:26" s="9" customFormat="1" ht="15.75">
      <c r="A1580" s="40" t="s">
        <v>416</v>
      </c>
      <c r="B1580" s="21">
        <f t="shared" ref="B1580:G1580" si="2493">B1053</f>
        <v>0</v>
      </c>
      <c r="C1580" s="21">
        <f t="shared" si="2493"/>
        <v>0</v>
      </c>
      <c r="D1580" s="21">
        <f t="shared" si="2493"/>
        <v>0</v>
      </c>
      <c r="E1580" s="21">
        <f t="shared" si="2493"/>
        <v>0</v>
      </c>
      <c r="F1580" s="21">
        <f t="shared" si="2493"/>
        <v>0</v>
      </c>
      <c r="G1580" s="21">
        <f t="shared" si="2493"/>
        <v>0</v>
      </c>
      <c r="H1580" s="21">
        <f t="shared" ref="H1580:I1580" si="2494">H1053</f>
        <v>0</v>
      </c>
      <c r="I1580" s="21">
        <f t="shared" si="2494"/>
        <v>0</v>
      </c>
      <c r="J1580" s="21">
        <f t="shared" ref="J1580:K1580" si="2495">J1053</f>
        <v>0</v>
      </c>
      <c r="K1580" s="21">
        <f t="shared" si="2495"/>
        <v>0</v>
      </c>
      <c r="L1580" s="21">
        <f t="shared" ref="L1580:M1580" si="2496">L1053</f>
        <v>0</v>
      </c>
      <c r="M1580" s="21">
        <f t="shared" si="2496"/>
        <v>0</v>
      </c>
      <c r="N1580" s="150">
        <f t="shared" si="2448"/>
        <v>0</v>
      </c>
      <c r="O1580" s="22">
        <f t="shared" si="2439"/>
        <v>0</v>
      </c>
      <c r="P1580" s="103"/>
      <c r="Q1580" s="103"/>
      <c r="R1580" s="103"/>
      <c r="S1580" s="103"/>
      <c r="T1580" s="103"/>
      <c r="U1580" s="103"/>
      <c r="V1580" s="103"/>
      <c r="W1580" s="103"/>
      <c r="X1580" s="103"/>
      <c r="Y1580" s="103"/>
      <c r="Z1580" s="103"/>
    </row>
    <row r="1581" spans="1:26" s="9" customFormat="1" ht="15.75">
      <c r="A1581" s="40" t="s">
        <v>302</v>
      </c>
      <c r="B1581" s="21">
        <f t="shared" ref="B1581:G1581" si="2497">B1070</f>
        <v>0</v>
      </c>
      <c r="C1581" s="21">
        <f t="shared" si="2497"/>
        <v>0</v>
      </c>
      <c r="D1581" s="21">
        <f t="shared" si="2497"/>
        <v>0</v>
      </c>
      <c r="E1581" s="21">
        <f t="shared" si="2497"/>
        <v>0</v>
      </c>
      <c r="F1581" s="21">
        <f t="shared" si="2497"/>
        <v>0</v>
      </c>
      <c r="G1581" s="21">
        <f t="shared" si="2497"/>
        <v>0</v>
      </c>
      <c r="H1581" s="21">
        <f t="shared" ref="H1581:I1581" si="2498">H1070</f>
        <v>0</v>
      </c>
      <c r="I1581" s="21">
        <f t="shared" si="2498"/>
        <v>0</v>
      </c>
      <c r="J1581" s="21">
        <f t="shared" ref="J1581:K1581" si="2499">J1070</f>
        <v>0</v>
      </c>
      <c r="K1581" s="21">
        <f t="shared" si="2499"/>
        <v>0</v>
      </c>
      <c r="L1581" s="21">
        <f t="shared" ref="L1581:M1581" si="2500">L1070</f>
        <v>0</v>
      </c>
      <c r="M1581" s="21">
        <f t="shared" si="2500"/>
        <v>0</v>
      </c>
      <c r="N1581" s="150">
        <f t="shared" si="2448"/>
        <v>0</v>
      </c>
      <c r="O1581" s="22">
        <f t="shared" si="2439"/>
        <v>0</v>
      </c>
      <c r="P1581" s="103"/>
      <c r="Q1581" s="103"/>
      <c r="R1581" s="103"/>
      <c r="S1581" s="103"/>
      <c r="T1581" s="103"/>
      <c r="U1581" s="103"/>
      <c r="V1581" s="103"/>
      <c r="W1581" s="103"/>
      <c r="X1581" s="103"/>
      <c r="Y1581" s="103"/>
      <c r="Z1581" s="103"/>
    </row>
    <row r="1582" spans="1:26" s="9" customFormat="1" ht="15.75">
      <c r="A1582" s="40" t="s">
        <v>405</v>
      </c>
      <c r="B1582" s="21">
        <f t="shared" ref="B1582:G1582" si="2501">B1087</f>
        <v>0</v>
      </c>
      <c r="C1582" s="21">
        <f t="shared" si="2501"/>
        <v>0</v>
      </c>
      <c r="D1582" s="21">
        <f t="shared" si="2501"/>
        <v>0</v>
      </c>
      <c r="E1582" s="21">
        <f t="shared" si="2501"/>
        <v>0</v>
      </c>
      <c r="F1582" s="21">
        <f t="shared" si="2501"/>
        <v>0</v>
      </c>
      <c r="G1582" s="21">
        <f t="shared" si="2501"/>
        <v>0</v>
      </c>
      <c r="H1582" s="21">
        <f t="shared" ref="H1582:I1582" si="2502">H1087</f>
        <v>0</v>
      </c>
      <c r="I1582" s="21">
        <f t="shared" si="2502"/>
        <v>0</v>
      </c>
      <c r="J1582" s="21">
        <f t="shared" ref="J1582:K1582" si="2503">J1087</f>
        <v>0</v>
      </c>
      <c r="K1582" s="21">
        <f t="shared" si="2503"/>
        <v>0</v>
      </c>
      <c r="L1582" s="21">
        <f t="shared" ref="L1582:M1582" si="2504">L1087</f>
        <v>0</v>
      </c>
      <c r="M1582" s="21">
        <f t="shared" si="2504"/>
        <v>0</v>
      </c>
      <c r="N1582" s="150">
        <f t="shared" si="2448"/>
        <v>0</v>
      </c>
      <c r="O1582" s="22">
        <f t="shared" si="2439"/>
        <v>0</v>
      </c>
      <c r="P1582" s="103"/>
      <c r="Q1582" s="103"/>
      <c r="R1582" s="103"/>
      <c r="S1582" s="103"/>
      <c r="T1582" s="103"/>
      <c r="U1582" s="103"/>
      <c r="V1582" s="103"/>
      <c r="W1582" s="103"/>
      <c r="X1582" s="103"/>
      <c r="Y1582" s="103"/>
      <c r="Z1582" s="103"/>
    </row>
    <row r="1583" spans="1:26" s="9" customFormat="1" ht="15.75">
      <c r="A1583" s="40" t="s">
        <v>192</v>
      </c>
      <c r="B1583" s="21">
        <f t="shared" ref="B1583:G1583" si="2505">B1207</f>
        <v>301</v>
      </c>
      <c r="C1583" s="21">
        <f t="shared" si="2505"/>
        <v>292</v>
      </c>
      <c r="D1583" s="21">
        <f t="shared" si="2505"/>
        <v>281</v>
      </c>
      <c r="E1583" s="21">
        <f t="shared" si="2505"/>
        <v>218</v>
      </c>
      <c r="F1583" s="21">
        <f t="shared" si="2505"/>
        <v>208</v>
      </c>
      <c r="G1583" s="21">
        <f t="shared" si="2505"/>
        <v>209</v>
      </c>
      <c r="H1583" s="21">
        <f t="shared" ref="H1583:I1583" si="2506">H1207</f>
        <v>297</v>
      </c>
      <c r="I1583" s="21">
        <f t="shared" si="2506"/>
        <v>392</v>
      </c>
      <c r="J1583" s="21">
        <f t="shared" ref="J1583:K1583" si="2507">J1207</f>
        <v>386</v>
      </c>
      <c r="K1583" s="21">
        <f t="shared" si="2507"/>
        <v>321</v>
      </c>
      <c r="L1583" s="21">
        <f t="shared" ref="L1583:M1583" si="2508">L1207</f>
        <v>333</v>
      </c>
      <c r="M1583" s="21">
        <f t="shared" si="2508"/>
        <v>306</v>
      </c>
      <c r="N1583" s="150">
        <f t="shared" si="2448"/>
        <v>3544</v>
      </c>
      <c r="O1583" s="22">
        <f t="shared" si="2439"/>
        <v>295.33333333333331</v>
      </c>
      <c r="P1583" s="103"/>
      <c r="Q1583" s="103"/>
      <c r="R1583" s="103"/>
      <c r="S1583" s="103"/>
      <c r="T1583" s="103"/>
      <c r="U1583" s="103"/>
      <c r="V1583" s="103"/>
      <c r="W1583" s="103"/>
      <c r="X1583" s="103"/>
      <c r="Y1583" s="103"/>
      <c r="Z1583" s="103"/>
    </row>
    <row r="1584" spans="1:26" s="9" customFormat="1" ht="15.75">
      <c r="A1584" s="40" t="s">
        <v>304</v>
      </c>
      <c r="B1584" s="21">
        <f t="shared" ref="B1584:G1584" si="2509">B1269</f>
        <v>9</v>
      </c>
      <c r="C1584" s="21">
        <f t="shared" si="2509"/>
        <v>7</v>
      </c>
      <c r="D1584" s="21">
        <f t="shared" si="2509"/>
        <v>7</v>
      </c>
      <c r="E1584" s="21">
        <f t="shared" si="2509"/>
        <v>6</v>
      </c>
      <c r="F1584" s="21">
        <f t="shared" si="2509"/>
        <v>12</v>
      </c>
      <c r="G1584" s="21">
        <f t="shared" si="2509"/>
        <v>17</v>
      </c>
      <c r="H1584" s="21">
        <f t="shared" ref="H1584:I1584" si="2510">H1269</f>
        <v>22</v>
      </c>
      <c r="I1584" s="21">
        <f t="shared" si="2510"/>
        <v>23</v>
      </c>
      <c r="J1584" s="21">
        <f t="shared" ref="J1584:K1584" si="2511">J1269</f>
        <v>8</v>
      </c>
      <c r="K1584" s="21">
        <f t="shared" si="2511"/>
        <v>10</v>
      </c>
      <c r="L1584" s="21">
        <f t="shared" ref="L1584:M1584" si="2512">L1269</f>
        <v>9</v>
      </c>
      <c r="M1584" s="21">
        <f t="shared" si="2512"/>
        <v>3</v>
      </c>
      <c r="N1584" s="150">
        <f t="shared" si="2448"/>
        <v>133</v>
      </c>
      <c r="O1584" s="22">
        <f t="shared" si="2439"/>
        <v>11.083333333333334</v>
      </c>
      <c r="P1584" s="103"/>
      <c r="Q1584" s="103"/>
      <c r="R1584" s="103"/>
      <c r="S1584" s="103"/>
      <c r="T1584" s="103"/>
      <c r="U1584" s="103"/>
      <c r="V1584" s="103"/>
      <c r="W1584" s="103"/>
      <c r="X1584" s="103"/>
      <c r="Y1584" s="103"/>
      <c r="Z1584" s="103"/>
    </row>
    <row r="1585" spans="1:26" s="9" customFormat="1" ht="15.75">
      <c r="A1585" s="40" t="s">
        <v>334</v>
      </c>
      <c r="B1585" s="21">
        <f t="shared" ref="B1585:G1585" si="2513">B1286</f>
        <v>0</v>
      </c>
      <c r="C1585" s="21">
        <f t="shared" si="2513"/>
        <v>0</v>
      </c>
      <c r="D1585" s="21">
        <f t="shared" si="2513"/>
        <v>0</v>
      </c>
      <c r="E1585" s="21">
        <f t="shared" si="2513"/>
        <v>0</v>
      </c>
      <c r="F1585" s="21">
        <f t="shared" si="2513"/>
        <v>0</v>
      </c>
      <c r="G1585" s="21">
        <f t="shared" si="2513"/>
        <v>0</v>
      </c>
      <c r="H1585" s="21">
        <f t="shared" ref="H1585:I1585" si="2514">H1286</f>
        <v>0</v>
      </c>
      <c r="I1585" s="21">
        <f t="shared" si="2514"/>
        <v>0</v>
      </c>
      <c r="J1585" s="21">
        <f t="shared" ref="J1585:K1585" si="2515">J1286</f>
        <v>0</v>
      </c>
      <c r="K1585" s="21">
        <f t="shared" si="2515"/>
        <v>0</v>
      </c>
      <c r="L1585" s="21">
        <f t="shared" ref="L1585:M1585" si="2516">L1286</f>
        <v>0</v>
      </c>
      <c r="M1585" s="21">
        <f t="shared" si="2516"/>
        <v>0</v>
      </c>
      <c r="N1585" s="150">
        <f t="shared" si="2448"/>
        <v>0</v>
      </c>
      <c r="O1585" s="22">
        <f t="shared" si="2439"/>
        <v>0</v>
      </c>
      <c r="P1585" s="103"/>
      <c r="Q1585" s="103"/>
      <c r="R1585" s="103"/>
      <c r="S1585" s="103"/>
      <c r="T1585" s="103"/>
      <c r="U1585" s="103"/>
      <c r="V1585" s="103"/>
      <c r="W1585" s="103"/>
      <c r="X1585" s="103"/>
      <c r="Y1585" s="103"/>
      <c r="Z1585" s="103"/>
    </row>
    <row r="1586" spans="1:26" s="9" customFormat="1" ht="15.75">
      <c r="A1586" s="37" t="s">
        <v>193</v>
      </c>
      <c r="B1586" s="21">
        <f t="shared" ref="B1586:G1586" si="2517">B1352</f>
        <v>69</v>
      </c>
      <c r="C1586" s="21">
        <f t="shared" si="2517"/>
        <v>43</v>
      </c>
      <c r="D1586" s="21">
        <f t="shared" si="2517"/>
        <v>52</v>
      </c>
      <c r="E1586" s="21">
        <f t="shared" si="2517"/>
        <v>30</v>
      </c>
      <c r="F1586" s="21">
        <f t="shared" si="2517"/>
        <v>33</v>
      </c>
      <c r="G1586" s="21">
        <f t="shared" si="2517"/>
        <v>63</v>
      </c>
      <c r="H1586" s="21">
        <f t="shared" ref="H1586:I1586" si="2518">H1352</f>
        <v>81</v>
      </c>
      <c r="I1586" s="21">
        <f t="shared" si="2518"/>
        <v>64</v>
      </c>
      <c r="J1586" s="21">
        <f t="shared" ref="J1586:K1586" si="2519">J1352</f>
        <v>55</v>
      </c>
      <c r="K1586" s="21">
        <f t="shared" si="2519"/>
        <v>29</v>
      </c>
      <c r="L1586" s="21">
        <f t="shared" ref="L1586:M1586" si="2520">L1352</f>
        <v>44</v>
      </c>
      <c r="M1586" s="21">
        <f t="shared" si="2520"/>
        <v>36</v>
      </c>
      <c r="N1586" s="150">
        <f t="shared" si="2448"/>
        <v>599</v>
      </c>
      <c r="O1586" s="22">
        <f t="shared" si="2439"/>
        <v>49.916666666666664</v>
      </c>
      <c r="P1586" s="103"/>
      <c r="Q1586" s="103"/>
      <c r="R1586" s="103"/>
      <c r="S1586" s="103"/>
      <c r="T1586" s="103"/>
      <c r="U1586" s="103"/>
      <c r="V1586" s="103"/>
      <c r="W1586" s="103"/>
      <c r="X1586" s="103"/>
      <c r="Y1586" s="103"/>
      <c r="Z1586" s="103"/>
    </row>
    <row r="1587" spans="1:26" s="217" customFormat="1" ht="15.75">
      <c r="A1587" s="37" t="s">
        <v>194</v>
      </c>
      <c r="B1587" s="21">
        <f t="shared" ref="B1587:G1587" si="2521">B1397</f>
        <v>26</v>
      </c>
      <c r="C1587" s="21">
        <f t="shared" si="2521"/>
        <v>25</v>
      </c>
      <c r="D1587" s="21">
        <f t="shared" si="2521"/>
        <v>13</v>
      </c>
      <c r="E1587" s="21">
        <f t="shared" si="2521"/>
        <v>12</v>
      </c>
      <c r="F1587" s="21">
        <f t="shared" si="2521"/>
        <v>13</v>
      </c>
      <c r="G1587" s="21">
        <f t="shared" si="2521"/>
        <v>17</v>
      </c>
      <c r="H1587" s="21">
        <f t="shared" ref="H1587:I1587" si="2522">H1397</f>
        <v>0</v>
      </c>
      <c r="I1587" s="21">
        <f t="shared" si="2522"/>
        <v>25</v>
      </c>
      <c r="J1587" s="21">
        <f t="shared" ref="J1587:K1587" si="2523">J1397</f>
        <v>35</v>
      </c>
      <c r="K1587" s="21">
        <f t="shared" si="2523"/>
        <v>18</v>
      </c>
      <c r="L1587" s="21">
        <f t="shared" ref="L1587:M1587" si="2524">L1397</f>
        <v>18</v>
      </c>
      <c r="M1587" s="21">
        <f t="shared" si="2524"/>
        <v>16</v>
      </c>
      <c r="N1587" s="150">
        <f t="shared" si="2448"/>
        <v>218</v>
      </c>
      <c r="O1587" s="22">
        <f t="shared" si="2439"/>
        <v>18.166666666666668</v>
      </c>
      <c r="P1587" s="254"/>
      <c r="Q1587" s="254"/>
      <c r="R1587" s="254"/>
      <c r="S1587" s="254"/>
      <c r="T1587" s="254"/>
      <c r="U1587" s="254"/>
      <c r="V1587" s="254"/>
      <c r="W1587" s="254"/>
      <c r="X1587" s="254"/>
      <c r="Y1587" s="254"/>
      <c r="Z1587" s="254"/>
    </row>
    <row r="1588" spans="1:26" s="9" customFormat="1" ht="15.75">
      <c r="A1588" s="37" t="s">
        <v>343</v>
      </c>
      <c r="B1588" s="21">
        <f t="shared" ref="B1588:G1588" si="2525">B1442</f>
        <v>8</v>
      </c>
      <c r="C1588" s="21">
        <f t="shared" si="2525"/>
        <v>8</v>
      </c>
      <c r="D1588" s="21">
        <f t="shared" si="2525"/>
        <v>10</v>
      </c>
      <c r="E1588" s="21">
        <f t="shared" si="2525"/>
        <v>5</v>
      </c>
      <c r="F1588" s="21">
        <f t="shared" si="2525"/>
        <v>7</v>
      </c>
      <c r="G1588" s="21">
        <f t="shared" si="2525"/>
        <v>7</v>
      </c>
      <c r="H1588" s="21">
        <f t="shared" ref="H1588:I1588" si="2526">H1442</f>
        <v>0</v>
      </c>
      <c r="I1588" s="21">
        <f t="shared" si="2526"/>
        <v>11</v>
      </c>
      <c r="J1588" s="21">
        <f t="shared" ref="J1588:K1588" si="2527">J1442</f>
        <v>9</v>
      </c>
      <c r="K1588" s="21">
        <f t="shared" si="2527"/>
        <v>2</v>
      </c>
      <c r="L1588" s="21">
        <f t="shared" ref="L1588:M1588" si="2528">L1442</f>
        <v>0</v>
      </c>
      <c r="M1588" s="21">
        <f t="shared" si="2528"/>
        <v>1</v>
      </c>
      <c r="N1588" s="150">
        <f>SUM(B1588:M1588)</f>
        <v>68</v>
      </c>
      <c r="O1588" s="22">
        <f t="shared" si="2439"/>
        <v>5.666666666666667</v>
      </c>
      <c r="P1588" s="103"/>
      <c r="Q1588" s="103"/>
      <c r="R1588" s="103"/>
      <c r="S1588" s="103"/>
      <c r="T1588" s="103"/>
      <c r="U1588" s="103"/>
      <c r="V1588" s="103"/>
      <c r="W1588" s="103"/>
      <c r="X1588" s="103"/>
      <c r="Y1588" s="103"/>
      <c r="Z1588" s="103"/>
    </row>
    <row r="1589" spans="1:26" s="9" customFormat="1" ht="15.75">
      <c r="A1589" s="62" t="s">
        <v>21</v>
      </c>
      <c r="B1589" s="24">
        <f t="shared" ref="B1589:G1589" si="2529">SUM(B1565:B1588)</f>
        <v>9455</v>
      </c>
      <c r="C1589" s="24">
        <f t="shared" si="2529"/>
        <v>7622</v>
      </c>
      <c r="D1589" s="24">
        <f t="shared" si="2529"/>
        <v>6910</v>
      </c>
      <c r="E1589" s="24">
        <f t="shared" si="2529"/>
        <v>6383</v>
      </c>
      <c r="F1589" s="24">
        <f t="shared" si="2529"/>
        <v>6406</v>
      </c>
      <c r="G1589" s="24">
        <f t="shared" si="2529"/>
        <v>6542</v>
      </c>
      <c r="H1589" s="24">
        <f t="shared" ref="H1589:I1589" si="2530">SUM(H1565:H1588)</f>
        <v>9465</v>
      </c>
      <c r="I1589" s="24">
        <f t="shared" si="2530"/>
        <v>9589</v>
      </c>
      <c r="J1589" s="24">
        <f t="shared" ref="J1589:K1589" si="2531">SUM(J1565:J1588)</f>
        <v>9000</v>
      </c>
      <c r="K1589" s="24">
        <f t="shared" si="2531"/>
        <v>6861</v>
      </c>
      <c r="L1589" s="24">
        <f t="shared" ref="L1589:M1589" si="2532">SUM(L1565:L1588)</f>
        <v>6836</v>
      </c>
      <c r="M1589" s="24">
        <f t="shared" si="2532"/>
        <v>6736</v>
      </c>
      <c r="N1589" s="144">
        <f>SUM(N1565:N1588)</f>
        <v>91805</v>
      </c>
      <c r="O1589" s="374">
        <f t="shared" si="2439"/>
        <v>7650.416666666667</v>
      </c>
      <c r="P1589" s="103"/>
      <c r="Q1589" s="103"/>
      <c r="R1589" s="103"/>
      <c r="S1589" s="103"/>
      <c r="T1589" s="103"/>
      <c r="U1589" s="103"/>
      <c r="V1589" s="103"/>
      <c r="W1589" s="103"/>
      <c r="X1589" s="103"/>
      <c r="Y1589" s="103"/>
      <c r="Z1589" s="103"/>
    </row>
    <row r="1590" spans="1:26" s="9" customFormat="1">
      <c r="A1590" s="250"/>
      <c r="B1590" s="251"/>
      <c r="C1590" s="251"/>
      <c r="D1590" s="251"/>
      <c r="E1590" s="251"/>
      <c r="F1590" s="251"/>
      <c r="G1590" s="251"/>
      <c r="H1590" s="251"/>
      <c r="I1590" s="251"/>
      <c r="J1590" s="251"/>
      <c r="K1590" s="251"/>
      <c r="L1590" s="251"/>
      <c r="M1590" s="251"/>
      <c r="N1590" s="252"/>
      <c r="O1590" s="253"/>
      <c r="P1590" s="103"/>
      <c r="Q1590" s="103"/>
      <c r="R1590" s="103"/>
      <c r="S1590" s="103"/>
      <c r="T1590" s="103"/>
      <c r="U1590" s="103"/>
      <c r="V1590" s="103"/>
      <c r="W1590" s="103"/>
      <c r="X1590" s="103"/>
      <c r="Y1590" s="103"/>
      <c r="Z1590" s="103"/>
    </row>
    <row r="1591" spans="1:26" s="9" customFormat="1" ht="15.75">
      <c r="A1591" s="17" t="s">
        <v>810</v>
      </c>
      <c r="B1591" s="459"/>
      <c r="C1591" s="459"/>
      <c r="D1591" s="459"/>
      <c r="E1591" s="459"/>
      <c r="F1591" s="459"/>
      <c r="G1591" s="459"/>
      <c r="H1591" s="459"/>
      <c r="I1591" s="459"/>
      <c r="J1591" s="459"/>
      <c r="K1591" s="459"/>
      <c r="L1591" s="459"/>
      <c r="M1591" s="459"/>
      <c r="N1591" s="459"/>
      <c r="O1591" s="460"/>
      <c r="P1591" s="103"/>
      <c r="Q1591" s="103"/>
      <c r="R1591" s="103"/>
      <c r="S1591" s="103"/>
      <c r="T1591" s="103"/>
      <c r="U1591" s="103"/>
      <c r="V1591" s="103"/>
      <c r="W1591" s="103"/>
      <c r="X1591" s="103"/>
      <c r="Y1591" s="103"/>
      <c r="Z1591" s="103"/>
    </row>
    <row r="1592" spans="1:26" s="9" customFormat="1" ht="15.75">
      <c r="A1592" s="107" t="s">
        <v>811</v>
      </c>
      <c r="B1592" s="117"/>
      <c r="C1592" s="117"/>
      <c r="D1592" s="117"/>
      <c r="E1592" s="117"/>
      <c r="F1592" s="117"/>
      <c r="G1592" s="117"/>
      <c r="H1592" s="117"/>
      <c r="I1592" s="117"/>
      <c r="J1592" s="117"/>
      <c r="K1592" s="117"/>
      <c r="L1592" s="117"/>
      <c r="M1592" s="117"/>
      <c r="N1592" s="172"/>
      <c r="O1592" s="118"/>
      <c r="P1592" s="103"/>
      <c r="Q1592" s="103"/>
      <c r="R1592" s="103"/>
      <c r="S1592" s="103"/>
      <c r="T1592" s="103"/>
      <c r="U1592" s="103"/>
      <c r="V1592" s="103"/>
      <c r="W1592" s="103"/>
      <c r="X1592" s="103"/>
      <c r="Y1592" s="103"/>
      <c r="Z1592" s="103"/>
    </row>
    <row r="1593" spans="1:26" s="9" customFormat="1" ht="15.75">
      <c r="A1593" s="40" t="s">
        <v>144</v>
      </c>
      <c r="B1593" s="21">
        <f t="shared" ref="B1593:G1593" si="2533">B688</f>
        <v>118</v>
      </c>
      <c r="C1593" s="21">
        <f t="shared" si="2533"/>
        <v>130</v>
      </c>
      <c r="D1593" s="21">
        <f t="shared" si="2533"/>
        <v>150</v>
      </c>
      <c r="E1593" s="21">
        <f t="shared" si="2533"/>
        <v>114</v>
      </c>
      <c r="F1593" s="21">
        <f t="shared" si="2533"/>
        <v>16</v>
      </c>
      <c r="G1593" s="21">
        <f t="shared" si="2533"/>
        <v>55</v>
      </c>
      <c r="H1593" s="21">
        <f t="shared" ref="H1593:I1593" si="2534">H688</f>
        <v>72</v>
      </c>
      <c r="I1593" s="21">
        <f t="shared" si="2534"/>
        <v>85</v>
      </c>
      <c r="J1593" s="21">
        <f t="shared" ref="J1593:K1593" si="2535">J688</f>
        <v>124</v>
      </c>
      <c r="K1593" s="21">
        <f t="shared" si="2535"/>
        <v>144</v>
      </c>
      <c r="L1593" s="21">
        <f t="shared" ref="L1593:M1593" si="2536">L688</f>
        <v>98</v>
      </c>
      <c r="M1593" s="21">
        <f t="shared" si="2536"/>
        <v>118</v>
      </c>
      <c r="N1593" s="150">
        <f>SUM(B1593:M1593)</f>
        <v>1224</v>
      </c>
      <c r="O1593" s="22">
        <f>AVERAGE(B1593:M1593)</f>
        <v>102</v>
      </c>
      <c r="P1593" s="103"/>
      <c r="Q1593" s="103"/>
      <c r="R1593" s="103"/>
      <c r="S1593" s="103"/>
      <c r="T1593" s="103"/>
      <c r="U1593" s="103"/>
      <c r="V1593" s="103"/>
      <c r="W1593" s="103"/>
      <c r="X1593" s="103"/>
      <c r="Y1593" s="103"/>
      <c r="Z1593" s="103"/>
    </row>
    <row r="1594" spans="1:26" s="9" customFormat="1" ht="15.75">
      <c r="A1594" s="40" t="s">
        <v>723</v>
      </c>
      <c r="B1594" s="21">
        <f t="shared" ref="B1594:G1594" si="2537">B706</f>
        <v>1</v>
      </c>
      <c r="C1594" s="21">
        <f t="shared" si="2537"/>
        <v>0</v>
      </c>
      <c r="D1594" s="21">
        <f t="shared" si="2537"/>
        <v>0</v>
      </c>
      <c r="E1594" s="21">
        <f t="shared" si="2537"/>
        <v>0</v>
      </c>
      <c r="F1594" s="21">
        <f t="shared" si="2537"/>
        <v>0</v>
      </c>
      <c r="G1594" s="21">
        <f t="shared" si="2537"/>
        <v>0</v>
      </c>
      <c r="H1594" s="21">
        <f t="shared" ref="H1594:I1594" si="2538">H706</f>
        <v>1</v>
      </c>
      <c r="I1594" s="21">
        <f t="shared" si="2538"/>
        <v>0</v>
      </c>
      <c r="J1594" s="21">
        <f t="shared" ref="J1594:K1594" si="2539">J706</f>
        <v>1</v>
      </c>
      <c r="K1594" s="21">
        <f t="shared" si="2539"/>
        <v>1</v>
      </c>
      <c r="L1594" s="21">
        <f t="shared" ref="L1594:M1594" si="2540">L706</f>
        <v>1</v>
      </c>
      <c r="M1594" s="21">
        <f t="shared" si="2540"/>
        <v>1</v>
      </c>
      <c r="N1594" s="150">
        <f t="shared" ref="N1594:N1616" si="2541">SUM(B1594:M1594)</f>
        <v>6</v>
      </c>
      <c r="O1594" s="22">
        <f t="shared" ref="O1594:O1616" si="2542">AVERAGE(B1594:M1594)</f>
        <v>0.5</v>
      </c>
      <c r="P1594" s="103"/>
      <c r="Q1594" s="103"/>
      <c r="R1594" s="103"/>
      <c r="S1594" s="103"/>
      <c r="T1594" s="103"/>
      <c r="U1594" s="103"/>
      <c r="V1594" s="103"/>
      <c r="W1594" s="103"/>
      <c r="X1594" s="103"/>
      <c r="Y1594" s="103"/>
      <c r="Z1594" s="103"/>
    </row>
    <row r="1595" spans="1:26" s="9" customFormat="1" ht="15.75">
      <c r="A1595" s="40" t="s">
        <v>607</v>
      </c>
      <c r="B1595" s="21">
        <f t="shared" ref="B1595:G1595" si="2543">B723</f>
        <v>65</v>
      </c>
      <c r="C1595" s="21">
        <f t="shared" si="2543"/>
        <v>69</v>
      </c>
      <c r="D1595" s="21">
        <f t="shared" si="2543"/>
        <v>72</v>
      </c>
      <c r="E1595" s="21">
        <f t="shared" si="2543"/>
        <v>73</v>
      </c>
      <c r="F1595" s="21">
        <f t="shared" si="2543"/>
        <v>73</v>
      </c>
      <c r="G1595" s="21">
        <f t="shared" si="2543"/>
        <v>74</v>
      </c>
      <c r="H1595" s="21">
        <f t="shared" ref="H1595:I1595" si="2544">H723</f>
        <v>74</v>
      </c>
      <c r="I1595" s="21">
        <f t="shared" si="2544"/>
        <v>76</v>
      </c>
      <c r="J1595" s="21">
        <f t="shared" ref="J1595:K1595" si="2545">J723</f>
        <v>76</v>
      </c>
      <c r="K1595" s="21">
        <f t="shared" si="2545"/>
        <v>70</v>
      </c>
      <c r="L1595" s="21">
        <f t="shared" ref="L1595:M1595" si="2546">L723</f>
        <v>81</v>
      </c>
      <c r="M1595" s="21">
        <f t="shared" si="2546"/>
        <v>77</v>
      </c>
      <c r="N1595" s="150">
        <f t="shared" si="2541"/>
        <v>880</v>
      </c>
      <c r="O1595" s="22">
        <f t="shared" si="2542"/>
        <v>73.333333333333329</v>
      </c>
      <c r="P1595" s="103"/>
      <c r="Q1595" s="103"/>
      <c r="R1595" s="103"/>
      <c r="S1595" s="103"/>
      <c r="T1595" s="103"/>
      <c r="U1595" s="103"/>
      <c r="V1595" s="103"/>
      <c r="W1595" s="103"/>
      <c r="X1595" s="103"/>
      <c r="Y1595" s="103"/>
      <c r="Z1595" s="103"/>
    </row>
    <row r="1596" spans="1:26" s="9" customFormat="1" ht="15.75">
      <c r="A1596" s="40" t="s">
        <v>310</v>
      </c>
      <c r="B1596" s="21">
        <f t="shared" ref="B1596:G1596" si="2547">B740</f>
        <v>1</v>
      </c>
      <c r="C1596" s="21">
        <f t="shared" si="2547"/>
        <v>0</v>
      </c>
      <c r="D1596" s="21">
        <f t="shared" si="2547"/>
        <v>0</v>
      </c>
      <c r="E1596" s="21">
        <f t="shared" si="2547"/>
        <v>1</v>
      </c>
      <c r="F1596" s="21">
        <f t="shared" si="2547"/>
        <v>1</v>
      </c>
      <c r="G1596" s="21">
        <f t="shared" si="2547"/>
        <v>1</v>
      </c>
      <c r="H1596" s="21">
        <f t="shared" ref="H1596:I1596" si="2548">H740</f>
        <v>0</v>
      </c>
      <c r="I1596" s="21">
        <f t="shared" si="2548"/>
        <v>2</v>
      </c>
      <c r="J1596" s="21">
        <f t="shared" ref="J1596:K1596" si="2549">J740</f>
        <v>1</v>
      </c>
      <c r="K1596" s="21">
        <f t="shared" si="2549"/>
        <v>1</v>
      </c>
      <c r="L1596" s="21">
        <f t="shared" ref="L1596:M1596" si="2550">L740</f>
        <v>2</v>
      </c>
      <c r="M1596" s="21">
        <f t="shared" si="2550"/>
        <v>0</v>
      </c>
      <c r="N1596" s="150">
        <f t="shared" si="2541"/>
        <v>10</v>
      </c>
      <c r="O1596" s="22">
        <f t="shared" si="2542"/>
        <v>0.83333333333333337</v>
      </c>
      <c r="P1596" s="103"/>
      <c r="Q1596" s="103"/>
      <c r="R1596" s="103"/>
      <c r="S1596" s="103"/>
      <c r="T1596" s="103"/>
      <c r="U1596" s="103"/>
      <c r="V1596" s="103"/>
      <c r="W1596" s="103"/>
      <c r="X1596" s="103"/>
      <c r="Y1596" s="103"/>
      <c r="Z1596" s="103"/>
    </row>
    <row r="1597" spans="1:26" s="9" customFormat="1" ht="30">
      <c r="A1597" s="40" t="s">
        <v>594</v>
      </c>
      <c r="B1597" s="21">
        <f t="shared" ref="B1597:G1597" si="2551">B763</f>
        <v>2</v>
      </c>
      <c r="C1597" s="21">
        <f t="shared" si="2551"/>
        <v>2</v>
      </c>
      <c r="D1597" s="21">
        <f t="shared" si="2551"/>
        <v>2</v>
      </c>
      <c r="E1597" s="21">
        <f t="shared" si="2551"/>
        <v>1</v>
      </c>
      <c r="F1597" s="21">
        <f t="shared" si="2551"/>
        <v>2</v>
      </c>
      <c r="G1597" s="21">
        <f t="shared" si="2551"/>
        <v>2</v>
      </c>
      <c r="H1597" s="21">
        <f t="shared" ref="H1597:M1597" si="2552">H763</f>
        <v>0</v>
      </c>
      <c r="I1597" s="21">
        <f t="shared" si="2552"/>
        <v>5</v>
      </c>
      <c r="J1597" s="21">
        <f t="shared" si="2552"/>
        <v>2</v>
      </c>
      <c r="K1597" s="21">
        <f t="shared" si="2552"/>
        <v>9</v>
      </c>
      <c r="L1597" s="21">
        <f t="shared" si="2552"/>
        <v>7</v>
      </c>
      <c r="M1597" s="21">
        <f t="shared" si="2552"/>
        <v>6</v>
      </c>
      <c r="N1597" s="150">
        <f t="shared" si="2541"/>
        <v>40</v>
      </c>
      <c r="O1597" s="22">
        <f t="shared" si="2542"/>
        <v>3.3333333333333335</v>
      </c>
      <c r="P1597" s="103"/>
      <c r="Q1597" s="103"/>
      <c r="R1597" s="103"/>
      <c r="S1597" s="103"/>
      <c r="T1597" s="103"/>
      <c r="U1597" s="103"/>
      <c r="V1597" s="103"/>
      <c r="W1597" s="103"/>
      <c r="X1597" s="103"/>
      <c r="Y1597" s="103"/>
      <c r="Z1597" s="103"/>
    </row>
    <row r="1598" spans="1:26" s="9" customFormat="1" ht="15.75">
      <c r="A1598" s="40" t="s">
        <v>182</v>
      </c>
      <c r="B1598" s="21">
        <f t="shared" ref="B1598:G1598" si="2553">B894+B897</f>
        <v>87</v>
      </c>
      <c r="C1598" s="21">
        <f t="shared" si="2553"/>
        <v>72</v>
      </c>
      <c r="D1598" s="21">
        <f t="shared" si="2553"/>
        <v>85</v>
      </c>
      <c r="E1598" s="21">
        <f t="shared" si="2553"/>
        <v>23</v>
      </c>
      <c r="F1598" s="21">
        <f t="shared" si="2553"/>
        <v>21</v>
      </c>
      <c r="G1598" s="21">
        <f t="shared" si="2553"/>
        <v>66</v>
      </c>
      <c r="H1598" s="21">
        <f t="shared" ref="H1598:I1598" si="2554">H894+H897</f>
        <v>91</v>
      </c>
      <c r="I1598" s="21">
        <f t="shared" si="2554"/>
        <v>93</v>
      </c>
      <c r="J1598" s="21">
        <f t="shared" ref="J1598:K1598" si="2555">J894+J897</f>
        <v>89</v>
      </c>
      <c r="K1598" s="21">
        <f t="shared" si="2555"/>
        <v>77</v>
      </c>
      <c r="L1598" s="21">
        <f t="shared" ref="L1598:M1598" si="2556">L894+L897</f>
        <v>68</v>
      </c>
      <c r="M1598" s="21">
        <f t="shared" si="2556"/>
        <v>92</v>
      </c>
      <c r="N1598" s="150">
        <f t="shared" si="2541"/>
        <v>864</v>
      </c>
      <c r="O1598" s="22">
        <f t="shared" si="2542"/>
        <v>72</v>
      </c>
      <c r="P1598" s="103"/>
      <c r="Q1598" s="103"/>
      <c r="R1598" s="103"/>
      <c r="S1598" s="103"/>
      <c r="T1598" s="103"/>
      <c r="U1598" s="103"/>
      <c r="V1598" s="103"/>
      <c r="W1598" s="103"/>
      <c r="X1598" s="103"/>
      <c r="Y1598" s="103"/>
      <c r="Z1598" s="103"/>
    </row>
    <row r="1599" spans="1:26" s="9" customFormat="1" ht="15.75">
      <c r="A1599" s="40" t="s">
        <v>303</v>
      </c>
      <c r="B1599" s="21">
        <f t="shared" ref="B1599:G1599" si="2557">B780</f>
        <v>40</v>
      </c>
      <c r="C1599" s="21">
        <f t="shared" si="2557"/>
        <v>35</v>
      </c>
      <c r="D1599" s="21">
        <f t="shared" si="2557"/>
        <v>33</v>
      </c>
      <c r="E1599" s="21">
        <f t="shared" si="2557"/>
        <v>0</v>
      </c>
      <c r="F1599" s="21">
        <f t="shared" si="2557"/>
        <v>0</v>
      </c>
      <c r="G1599" s="21">
        <f t="shared" si="2557"/>
        <v>35</v>
      </c>
      <c r="H1599" s="21">
        <f t="shared" ref="H1599:I1599" si="2558">H780</f>
        <v>40</v>
      </c>
      <c r="I1599" s="21">
        <f t="shared" si="2558"/>
        <v>36</v>
      </c>
      <c r="J1599" s="21">
        <f t="shared" ref="J1599:K1599" si="2559">J780</f>
        <v>37</v>
      </c>
      <c r="K1599" s="21">
        <f t="shared" si="2559"/>
        <v>0</v>
      </c>
      <c r="L1599" s="21">
        <f t="shared" ref="L1599:M1599" si="2560">L780</f>
        <v>0</v>
      </c>
      <c r="M1599" s="21">
        <f t="shared" si="2560"/>
        <v>0</v>
      </c>
      <c r="N1599" s="150">
        <f t="shared" si="2541"/>
        <v>256</v>
      </c>
      <c r="O1599" s="22">
        <f t="shared" si="2542"/>
        <v>21.333333333333332</v>
      </c>
      <c r="P1599" s="103"/>
      <c r="Q1599" s="103"/>
      <c r="R1599" s="103"/>
      <c r="S1599" s="103"/>
      <c r="T1599" s="103"/>
      <c r="U1599" s="103"/>
      <c r="V1599" s="103"/>
      <c r="W1599" s="103"/>
      <c r="X1599" s="103"/>
      <c r="Y1599" s="103"/>
      <c r="Z1599" s="103"/>
    </row>
    <row r="1600" spans="1:26" s="9" customFormat="1" ht="15.75">
      <c r="A1600" s="40" t="s">
        <v>315</v>
      </c>
      <c r="B1600" s="21">
        <f t="shared" ref="B1600:G1600" si="2561">B797</f>
        <v>57</v>
      </c>
      <c r="C1600" s="21">
        <f t="shared" si="2561"/>
        <v>54</v>
      </c>
      <c r="D1600" s="21">
        <f t="shared" si="2561"/>
        <v>46</v>
      </c>
      <c r="E1600" s="21">
        <f t="shared" si="2561"/>
        <v>18</v>
      </c>
      <c r="F1600" s="21">
        <f t="shared" si="2561"/>
        <v>35</v>
      </c>
      <c r="G1600" s="21">
        <f t="shared" si="2561"/>
        <v>27</v>
      </c>
      <c r="H1600" s="21">
        <f t="shared" ref="H1600:I1600" si="2562">H797</f>
        <v>0</v>
      </c>
      <c r="I1600" s="21">
        <f t="shared" si="2562"/>
        <v>63</v>
      </c>
      <c r="J1600" s="21">
        <f t="shared" ref="J1600:K1600" si="2563">J797</f>
        <v>80</v>
      </c>
      <c r="K1600" s="21">
        <f t="shared" si="2563"/>
        <v>82</v>
      </c>
      <c r="L1600" s="21">
        <f t="shared" ref="L1600:M1600" si="2564">L797</f>
        <v>0</v>
      </c>
      <c r="M1600" s="21">
        <f t="shared" si="2564"/>
        <v>0</v>
      </c>
      <c r="N1600" s="150">
        <f t="shared" si="2541"/>
        <v>462</v>
      </c>
      <c r="O1600" s="22">
        <f t="shared" si="2542"/>
        <v>38.5</v>
      </c>
      <c r="P1600" s="103"/>
      <c r="Q1600" s="103"/>
      <c r="R1600" s="103"/>
      <c r="S1600" s="103"/>
      <c r="T1600" s="103"/>
      <c r="U1600" s="103"/>
      <c r="V1600" s="103"/>
      <c r="W1600" s="103"/>
      <c r="X1600" s="103"/>
      <c r="Y1600" s="103"/>
      <c r="Z1600" s="103"/>
    </row>
    <row r="1601" spans="1:26" s="9" customFormat="1" ht="15.75">
      <c r="A1601" s="40" t="s">
        <v>195</v>
      </c>
      <c r="B1601" s="21">
        <f t="shared" ref="B1601:G1601" si="2565">B814</f>
        <v>150</v>
      </c>
      <c r="C1601" s="21">
        <f t="shared" si="2565"/>
        <v>148</v>
      </c>
      <c r="D1601" s="21">
        <f t="shared" si="2565"/>
        <v>127</v>
      </c>
      <c r="E1601" s="21">
        <f t="shared" si="2565"/>
        <v>68</v>
      </c>
      <c r="F1601" s="21">
        <f t="shared" si="2565"/>
        <v>74</v>
      </c>
      <c r="G1601" s="21">
        <f t="shared" si="2565"/>
        <v>135</v>
      </c>
      <c r="H1601" s="21">
        <f t="shared" ref="H1601:I1601" si="2566">H814</f>
        <v>147</v>
      </c>
      <c r="I1601" s="21">
        <f t="shared" si="2566"/>
        <v>132</v>
      </c>
      <c r="J1601" s="21">
        <f t="shared" ref="J1601:K1601" si="2567">J814</f>
        <v>137</v>
      </c>
      <c r="K1601" s="21">
        <f t="shared" si="2567"/>
        <v>117</v>
      </c>
      <c r="L1601" s="21">
        <f t="shared" ref="L1601:M1601" si="2568">L814</f>
        <v>108</v>
      </c>
      <c r="M1601" s="21">
        <f t="shared" si="2568"/>
        <v>166</v>
      </c>
      <c r="N1601" s="150">
        <f t="shared" si="2541"/>
        <v>1509</v>
      </c>
      <c r="O1601" s="22">
        <f t="shared" si="2542"/>
        <v>125.75</v>
      </c>
      <c r="P1601" s="103"/>
      <c r="Q1601" s="103"/>
      <c r="R1601" s="103"/>
      <c r="S1601" s="103"/>
      <c r="T1601" s="103"/>
      <c r="U1601" s="103"/>
      <c r="V1601" s="103"/>
      <c r="W1601" s="103"/>
      <c r="X1601" s="103"/>
      <c r="Y1601" s="103"/>
      <c r="Z1601" s="103"/>
    </row>
    <row r="1602" spans="1:26" s="9" customFormat="1" ht="15.75">
      <c r="A1602" s="37" t="s">
        <v>30</v>
      </c>
      <c r="B1602" s="21">
        <f t="shared" ref="B1602:G1602" si="2569">B862</f>
        <v>237</v>
      </c>
      <c r="C1602" s="21">
        <f t="shared" si="2569"/>
        <v>348</v>
      </c>
      <c r="D1602" s="21">
        <f t="shared" si="2569"/>
        <v>335</v>
      </c>
      <c r="E1602" s="21">
        <f t="shared" si="2569"/>
        <v>154</v>
      </c>
      <c r="F1602" s="21">
        <f t="shared" si="2569"/>
        <v>75</v>
      </c>
      <c r="G1602" s="21">
        <f t="shared" si="2569"/>
        <v>211</v>
      </c>
      <c r="H1602" s="21">
        <f t="shared" ref="H1602:I1602" si="2570">H862</f>
        <v>260</v>
      </c>
      <c r="I1602" s="21">
        <f t="shared" si="2570"/>
        <v>363</v>
      </c>
      <c r="J1602" s="21">
        <f t="shared" ref="J1602:K1602" si="2571">J862</f>
        <v>424</v>
      </c>
      <c r="K1602" s="21">
        <f t="shared" si="2571"/>
        <v>417</v>
      </c>
      <c r="L1602" s="21">
        <f t="shared" ref="L1602:M1602" si="2572">L862</f>
        <v>385</v>
      </c>
      <c r="M1602" s="21">
        <f t="shared" si="2572"/>
        <v>269</v>
      </c>
      <c r="N1602" s="150">
        <f t="shared" si="2541"/>
        <v>3478</v>
      </c>
      <c r="O1602" s="22">
        <f t="shared" si="2542"/>
        <v>289.83333333333331</v>
      </c>
      <c r="P1602" s="103"/>
      <c r="Q1602" s="103"/>
      <c r="R1602" s="103"/>
      <c r="S1602" s="103"/>
      <c r="T1602" s="103"/>
      <c r="U1602" s="103"/>
      <c r="V1602" s="103"/>
      <c r="W1602" s="103"/>
      <c r="X1602" s="103"/>
      <c r="Y1602" s="103"/>
      <c r="Z1602" s="103"/>
    </row>
    <row r="1603" spans="1:26" s="9" customFormat="1" ht="15.75">
      <c r="A1603" s="37" t="s">
        <v>406</v>
      </c>
      <c r="B1603" s="21">
        <f t="shared" ref="B1603:G1603" si="2573">B923</f>
        <v>20</v>
      </c>
      <c r="C1603" s="21">
        <f t="shared" si="2573"/>
        <v>20</v>
      </c>
      <c r="D1603" s="21">
        <f t="shared" si="2573"/>
        <v>17</v>
      </c>
      <c r="E1603" s="21">
        <f t="shared" si="2573"/>
        <v>10</v>
      </c>
      <c r="F1603" s="21">
        <f t="shared" si="2573"/>
        <v>17</v>
      </c>
      <c r="G1603" s="21">
        <f t="shared" si="2573"/>
        <v>12</v>
      </c>
      <c r="H1603" s="21">
        <f t="shared" ref="H1603:I1603" si="2574">H923</f>
        <v>3</v>
      </c>
      <c r="I1603" s="21">
        <f t="shared" si="2574"/>
        <v>22</v>
      </c>
      <c r="J1603" s="21">
        <f t="shared" ref="J1603:K1603" si="2575">J923</f>
        <v>14</v>
      </c>
      <c r="K1603" s="21">
        <f t="shared" si="2575"/>
        <v>0</v>
      </c>
      <c r="L1603" s="21">
        <f t="shared" ref="L1603:M1603" si="2576">L923</f>
        <v>0</v>
      </c>
      <c r="M1603" s="21">
        <f t="shared" si="2576"/>
        <v>0</v>
      </c>
      <c r="N1603" s="150">
        <f t="shared" si="2541"/>
        <v>135</v>
      </c>
      <c r="O1603" s="22">
        <f t="shared" si="2542"/>
        <v>11.25</v>
      </c>
      <c r="P1603" s="103"/>
      <c r="Q1603" s="103"/>
      <c r="R1603" s="103"/>
      <c r="S1603" s="103"/>
      <c r="T1603" s="103"/>
      <c r="U1603" s="103"/>
      <c r="V1603" s="103"/>
      <c r="W1603" s="103"/>
      <c r="X1603" s="103"/>
      <c r="Y1603" s="103"/>
      <c r="Z1603" s="103"/>
    </row>
    <row r="1604" spans="1:26" s="9" customFormat="1" ht="15.75">
      <c r="A1604" s="40" t="s">
        <v>316</v>
      </c>
      <c r="B1604" s="21">
        <f t="shared" ref="B1604:G1604" si="2577">B940</f>
        <v>27</v>
      </c>
      <c r="C1604" s="21">
        <f t="shared" si="2577"/>
        <v>30</v>
      </c>
      <c r="D1604" s="21">
        <f t="shared" si="2577"/>
        <v>23</v>
      </c>
      <c r="E1604" s="21">
        <f t="shared" si="2577"/>
        <v>0</v>
      </c>
      <c r="F1604" s="21">
        <f t="shared" si="2577"/>
        <v>0</v>
      </c>
      <c r="G1604" s="21">
        <f t="shared" si="2577"/>
        <v>13</v>
      </c>
      <c r="H1604" s="21">
        <f t="shared" ref="H1604:I1604" si="2578">H940</f>
        <v>0</v>
      </c>
      <c r="I1604" s="21">
        <f t="shared" si="2578"/>
        <v>0</v>
      </c>
      <c r="J1604" s="21">
        <f t="shared" ref="J1604:K1604" si="2579">J940</f>
        <v>21</v>
      </c>
      <c r="K1604" s="21">
        <f t="shared" si="2579"/>
        <v>30</v>
      </c>
      <c r="L1604" s="21">
        <f t="shared" ref="L1604:M1604" si="2580">L940</f>
        <v>0</v>
      </c>
      <c r="M1604" s="21">
        <f t="shared" si="2580"/>
        <v>6</v>
      </c>
      <c r="N1604" s="150">
        <f t="shared" si="2541"/>
        <v>150</v>
      </c>
      <c r="O1604" s="22">
        <f t="shared" si="2542"/>
        <v>12.5</v>
      </c>
      <c r="P1604" s="103"/>
      <c r="Q1604" s="103"/>
      <c r="R1604" s="103"/>
      <c r="S1604" s="103"/>
      <c r="T1604" s="103"/>
      <c r="U1604" s="103"/>
      <c r="V1604" s="103"/>
      <c r="W1604" s="103"/>
      <c r="X1604" s="103"/>
      <c r="Y1604" s="103"/>
      <c r="Z1604" s="103"/>
    </row>
    <row r="1605" spans="1:26" s="9" customFormat="1" ht="15.75">
      <c r="A1605" s="37" t="s">
        <v>393</v>
      </c>
      <c r="B1605" s="71">
        <f t="shared" ref="B1605:G1605" si="2581">B970</f>
        <v>11933</v>
      </c>
      <c r="C1605" s="71">
        <f t="shared" si="2581"/>
        <v>10417</v>
      </c>
      <c r="D1605" s="71">
        <f t="shared" si="2581"/>
        <v>11829</v>
      </c>
      <c r="E1605" s="71">
        <f t="shared" si="2581"/>
        <v>7709</v>
      </c>
      <c r="F1605" s="71">
        <f t="shared" si="2581"/>
        <v>6917</v>
      </c>
      <c r="G1605" s="71">
        <f t="shared" si="2581"/>
        <v>10461</v>
      </c>
      <c r="H1605" s="71">
        <f t="shared" ref="H1605:I1605" si="2582">H970</f>
        <v>12076</v>
      </c>
      <c r="I1605" s="71">
        <f t="shared" si="2582"/>
        <v>12108</v>
      </c>
      <c r="J1605" s="71">
        <f t="shared" ref="J1605:K1605" si="2583">J970</f>
        <v>12143</v>
      </c>
      <c r="K1605" s="71">
        <f t="shared" si="2583"/>
        <v>14952</v>
      </c>
      <c r="L1605" s="71">
        <f t="shared" ref="L1605:M1605" si="2584">L970</f>
        <v>14509</v>
      </c>
      <c r="M1605" s="71">
        <f t="shared" si="2584"/>
        <v>12639</v>
      </c>
      <c r="N1605" s="150">
        <f t="shared" si="2541"/>
        <v>137693</v>
      </c>
      <c r="O1605" s="22">
        <f t="shared" si="2542"/>
        <v>11474.416666666666</v>
      </c>
      <c r="P1605" s="103"/>
      <c r="Q1605" s="103"/>
      <c r="R1605" s="103"/>
      <c r="S1605" s="103"/>
      <c r="T1605" s="103"/>
      <c r="U1605" s="103"/>
      <c r="V1605" s="103"/>
      <c r="W1605" s="103"/>
      <c r="X1605" s="103"/>
      <c r="Y1605" s="103"/>
      <c r="Z1605" s="103"/>
    </row>
    <row r="1606" spans="1:26" s="9" customFormat="1" ht="15.75">
      <c r="A1606" s="40" t="s">
        <v>309</v>
      </c>
      <c r="B1606" s="38">
        <f t="shared" ref="B1606:G1606" si="2585">B987</f>
        <v>15</v>
      </c>
      <c r="C1606" s="38">
        <f t="shared" si="2585"/>
        <v>20</v>
      </c>
      <c r="D1606" s="38">
        <f t="shared" si="2585"/>
        <v>11</v>
      </c>
      <c r="E1606" s="38">
        <f t="shared" si="2585"/>
        <v>8</v>
      </c>
      <c r="F1606" s="38">
        <f t="shared" si="2585"/>
        <v>14</v>
      </c>
      <c r="G1606" s="38">
        <f t="shared" si="2585"/>
        <v>18</v>
      </c>
      <c r="H1606" s="38">
        <f t="shared" ref="H1606:I1606" si="2586">H987</f>
        <v>20</v>
      </c>
      <c r="I1606" s="38">
        <f t="shared" si="2586"/>
        <v>19</v>
      </c>
      <c r="J1606" s="38">
        <f t="shared" ref="J1606:K1606" si="2587">J987</f>
        <v>14</v>
      </c>
      <c r="K1606" s="38">
        <f t="shared" si="2587"/>
        <v>17</v>
      </c>
      <c r="L1606" s="38">
        <f t="shared" ref="L1606:M1606" si="2588">L987</f>
        <v>20</v>
      </c>
      <c r="M1606" s="38">
        <f t="shared" si="2588"/>
        <v>16</v>
      </c>
      <c r="N1606" s="150">
        <f t="shared" si="2541"/>
        <v>192</v>
      </c>
      <c r="O1606" s="22">
        <f t="shared" si="2542"/>
        <v>16</v>
      </c>
      <c r="P1606" s="103"/>
      <c r="Q1606" s="103"/>
      <c r="R1606" s="103"/>
      <c r="S1606" s="103"/>
      <c r="T1606" s="103"/>
      <c r="U1606" s="103"/>
      <c r="V1606" s="103"/>
      <c r="W1606" s="103"/>
      <c r="X1606" s="103"/>
      <c r="Y1606" s="103"/>
      <c r="Z1606" s="103"/>
    </row>
    <row r="1607" spans="1:26" s="9" customFormat="1" ht="15.75">
      <c r="A1607" s="40" t="s">
        <v>407</v>
      </c>
      <c r="B1607" s="39">
        <f t="shared" ref="B1607:G1607" si="2589">B1037</f>
        <v>12</v>
      </c>
      <c r="C1607" s="39">
        <f t="shared" si="2589"/>
        <v>12</v>
      </c>
      <c r="D1607" s="39">
        <f t="shared" si="2589"/>
        <v>12</v>
      </c>
      <c r="E1607" s="39">
        <f t="shared" si="2589"/>
        <v>12</v>
      </c>
      <c r="F1607" s="39">
        <f t="shared" si="2589"/>
        <v>12</v>
      </c>
      <c r="G1607" s="39">
        <f t="shared" si="2589"/>
        <v>12</v>
      </c>
      <c r="H1607" s="39">
        <f t="shared" ref="H1607:I1607" si="2590">H1037</f>
        <v>12</v>
      </c>
      <c r="I1607" s="39">
        <f t="shared" si="2590"/>
        <v>12</v>
      </c>
      <c r="J1607" s="39">
        <f t="shared" ref="J1607:K1607" si="2591">J1037</f>
        <v>7</v>
      </c>
      <c r="K1607" s="39">
        <f t="shared" si="2591"/>
        <v>0</v>
      </c>
      <c r="L1607" s="39">
        <f t="shared" ref="L1607:M1607" si="2592">L1037</f>
        <v>0</v>
      </c>
      <c r="M1607" s="39">
        <f t="shared" si="2592"/>
        <v>0</v>
      </c>
      <c r="N1607" s="150">
        <f t="shared" si="2541"/>
        <v>103</v>
      </c>
      <c r="O1607" s="22">
        <f t="shared" si="2542"/>
        <v>8.5833333333333339</v>
      </c>
      <c r="P1607" s="103"/>
      <c r="Q1607" s="103"/>
      <c r="R1607" s="103"/>
      <c r="S1607" s="103"/>
      <c r="T1607" s="103"/>
      <c r="U1607" s="103"/>
      <c r="V1607" s="103"/>
      <c r="W1607" s="103"/>
      <c r="X1607" s="103"/>
      <c r="Y1607" s="103"/>
      <c r="Z1607" s="103"/>
    </row>
    <row r="1608" spans="1:26" s="9" customFormat="1" ht="15.75">
      <c r="A1608" s="40" t="s">
        <v>416</v>
      </c>
      <c r="B1608" s="21">
        <f t="shared" ref="B1608:G1608" si="2593">B1054</f>
        <v>5</v>
      </c>
      <c r="C1608" s="21">
        <f t="shared" si="2593"/>
        <v>5</v>
      </c>
      <c r="D1608" s="21">
        <f t="shared" si="2593"/>
        <v>4</v>
      </c>
      <c r="E1608" s="21">
        <f t="shared" si="2593"/>
        <v>0</v>
      </c>
      <c r="F1608" s="21">
        <f t="shared" si="2593"/>
        <v>0</v>
      </c>
      <c r="G1608" s="21">
        <f t="shared" si="2593"/>
        <v>2</v>
      </c>
      <c r="H1608" s="21">
        <f t="shared" ref="H1608:I1608" si="2594">H1054</f>
        <v>3</v>
      </c>
      <c r="I1608" s="21">
        <f t="shared" si="2594"/>
        <v>2</v>
      </c>
      <c r="J1608" s="21">
        <f t="shared" ref="J1608:K1608" si="2595">J1054</f>
        <v>2</v>
      </c>
      <c r="K1608" s="21">
        <f t="shared" si="2595"/>
        <v>0</v>
      </c>
      <c r="L1608" s="21">
        <f t="shared" ref="L1608:M1608" si="2596">L1054</f>
        <v>0</v>
      </c>
      <c r="M1608" s="21">
        <f t="shared" si="2596"/>
        <v>0</v>
      </c>
      <c r="N1608" s="150">
        <f t="shared" si="2541"/>
        <v>23</v>
      </c>
      <c r="O1608" s="22">
        <f t="shared" si="2542"/>
        <v>1.9166666666666667</v>
      </c>
      <c r="P1608" s="103"/>
      <c r="Q1608" s="103"/>
      <c r="R1608" s="103"/>
      <c r="S1608" s="103"/>
      <c r="T1608" s="103"/>
      <c r="U1608" s="103"/>
      <c r="V1608" s="103"/>
      <c r="W1608" s="103"/>
      <c r="X1608" s="103"/>
      <c r="Y1608" s="103"/>
      <c r="Z1608" s="103"/>
    </row>
    <row r="1609" spans="1:26" s="9" customFormat="1" ht="15.75">
      <c r="A1609" s="40" t="s">
        <v>302</v>
      </c>
      <c r="B1609" s="21">
        <f t="shared" ref="B1609:G1609" si="2597">B1071</f>
        <v>17</v>
      </c>
      <c r="C1609" s="21">
        <f t="shared" si="2597"/>
        <v>30</v>
      </c>
      <c r="D1609" s="21">
        <f t="shared" si="2597"/>
        <v>25</v>
      </c>
      <c r="E1609" s="21">
        <f t="shared" si="2597"/>
        <v>12</v>
      </c>
      <c r="F1609" s="21">
        <f t="shared" si="2597"/>
        <v>9</v>
      </c>
      <c r="G1609" s="21">
        <f t="shared" si="2597"/>
        <v>25</v>
      </c>
      <c r="H1609" s="21">
        <f t="shared" ref="H1609:I1609" si="2598">H1071</f>
        <v>0</v>
      </c>
      <c r="I1609" s="21">
        <f t="shared" si="2598"/>
        <v>30</v>
      </c>
      <c r="J1609" s="21">
        <f t="shared" ref="J1609:K1609" si="2599">J1071</f>
        <v>35</v>
      </c>
      <c r="K1609" s="21">
        <f t="shared" si="2599"/>
        <v>11</v>
      </c>
      <c r="L1609" s="21">
        <f t="shared" ref="L1609:M1609" si="2600">L1071</f>
        <v>62</v>
      </c>
      <c r="M1609" s="21">
        <f t="shared" si="2600"/>
        <v>23</v>
      </c>
      <c r="N1609" s="150">
        <f t="shared" si="2541"/>
        <v>279</v>
      </c>
      <c r="O1609" s="22">
        <f t="shared" si="2542"/>
        <v>23.25</v>
      </c>
      <c r="P1609" s="103"/>
      <c r="Q1609" s="103"/>
      <c r="R1609" s="103"/>
      <c r="S1609" s="103"/>
      <c r="T1609" s="103"/>
      <c r="U1609" s="103"/>
      <c r="V1609" s="103"/>
      <c r="W1609" s="103"/>
      <c r="X1609" s="103"/>
      <c r="Y1609" s="103"/>
      <c r="Z1609" s="103"/>
    </row>
    <row r="1610" spans="1:26" s="9" customFormat="1" ht="15.75">
      <c r="A1610" s="40" t="s">
        <v>405</v>
      </c>
      <c r="B1610" s="21">
        <f t="shared" ref="B1610:G1610" si="2601">B1088</f>
        <v>3</v>
      </c>
      <c r="C1610" s="21">
        <f t="shared" si="2601"/>
        <v>3</v>
      </c>
      <c r="D1610" s="21">
        <f t="shared" si="2601"/>
        <v>1</v>
      </c>
      <c r="E1610" s="21">
        <f t="shared" si="2601"/>
        <v>0</v>
      </c>
      <c r="F1610" s="21">
        <f t="shared" si="2601"/>
        <v>1</v>
      </c>
      <c r="G1610" s="21">
        <f t="shared" si="2601"/>
        <v>1</v>
      </c>
      <c r="H1610" s="21">
        <f t="shared" ref="H1610:I1610" si="2602">H1088</f>
        <v>5</v>
      </c>
      <c r="I1610" s="21">
        <f t="shared" si="2602"/>
        <v>3</v>
      </c>
      <c r="J1610" s="21">
        <f t="shared" ref="J1610:K1610" si="2603">J1088</f>
        <v>0</v>
      </c>
      <c r="K1610" s="21">
        <f t="shared" si="2603"/>
        <v>0</v>
      </c>
      <c r="L1610" s="21">
        <f t="shared" ref="L1610:M1610" si="2604">L1088</f>
        <v>0</v>
      </c>
      <c r="M1610" s="21">
        <f t="shared" si="2604"/>
        <v>0</v>
      </c>
      <c r="N1610" s="150">
        <f t="shared" si="2541"/>
        <v>17</v>
      </c>
      <c r="O1610" s="22">
        <f t="shared" si="2542"/>
        <v>1.4166666666666667</v>
      </c>
      <c r="P1610" s="103"/>
      <c r="Q1610" s="103"/>
      <c r="R1610" s="103"/>
      <c r="S1610" s="103"/>
      <c r="T1610" s="103"/>
      <c r="U1610" s="103"/>
      <c r="V1610" s="103"/>
      <c r="W1610" s="103"/>
      <c r="X1610" s="103"/>
      <c r="Y1610" s="103"/>
      <c r="Z1610" s="103"/>
    </row>
    <row r="1611" spans="1:26" s="9" customFormat="1" ht="15.75">
      <c r="A1611" s="40" t="s">
        <v>192</v>
      </c>
      <c r="B1611" s="21">
        <f t="shared" ref="B1611:G1611" si="2605">B1208</f>
        <v>135</v>
      </c>
      <c r="C1611" s="21">
        <f t="shared" si="2605"/>
        <v>109</v>
      </c>
      <c r="D1611" s="21">
        <f t="shared" si="2605"/>
        <v>235</v>
      </c>
      <c r="E1611" s="21">
        <f t="shared" si="2605"/>
        <v>98</v>
      </c>
      <c r="F1611" s="21">
        <f t="shared" si="2605"/>
        <v>134</v>
      </c>
      <c r="G1611" s="21">
        <f t="shared" si="2605"/>
        <v>194</v>
      </c>
      <c r="H1611" s="21">
        <f t="shared" ref="H1611:I1611" si="2606">H1208</f>
        <v>251</v>
      </c>
      <c r="I1611" s="21">
        <f t="shared" si="2606"/>
        <v>238</v>
      </c>
      <c r="J1611" s="21">
        <f t="shared" ref="J1611:K1611" si="2607">J1208</f>
        <v>233</v>
      </c>
      <c r="K1611" s="21">
        <f t="shared" si="2607"/>
        <v>216</v>
      </c>
      <c r="L1611" s="21">
        <f t="shared" ref="L1611:M1611" si="2608">L1208</f>
        <v>259</v>
      </c>
      <c r="M1611" s="21">
        <f t="shared" si="2608"/>
        <v>270</v>
      </c>
      <c r="N1611" s="150">
        <f t="shared" si="2541"/>
        <v>2372</v>
      </c>
      <c r="O1611" s="22">
        <f t="shared" si="2542"/>
        <v>197.66666666666666</v>
      </c>
      <c r="P1611" s="103"/>
      <c r="Q1611" s="103"/>
      <c r="R1611" s="103"/>
      <c r="S1611" s="103"/>
      <c r="T1611" s="103"/>
      <c r="U1611" s="103"/>
      <c r="V1611" s="103"/>
      <c r="W1611" s="103"/>
      <c r="X1611" s="103"/>
      <c r="Y1611" s="103"/>
      <c r="Z1611" s="103"/>
    </row>
    <row r="1612" spans="1:26" s="9" customFormat="1" ht="15.75">
      <c r="A1612" s="40" t="s">
        <v>304</v>
      </c>
      <c r="B1612" s="21">
        <f t="shared" ref="B1612:G1612" si="2609">B1270</f>
        <v>36</v>
      </c>
      <c r="C1612" s="21">
        <f t="shared" si="2609"/>
        <v>35</v>
      </c>
      <c r="D1612" s="21">
        <f t="shared" si="2609"/>
        <v>31</v>
      </c>
      <c r="E1612" s="21">
        <f t="shared" si="2609"/>
        <v>21</v>
      </c>
      <c r="F1612" s="21">
        <f t="shared" si="2609"/>
        <v>23</v>
      </c>
      <c r="G1612" s="21">
        <f t="shared" si="2609"/>
        <v>24</v>
      </c>
      <c r="H1612" s="21">
        <f t="shared" ref="H1612:I1612" si="2610">H1270</f>
        <v>33</v>
      </c>
      <c r="I1612" s="21">
        <f t="shared" si="2610"/>
        <v>30</v>
      </c>
      <c r="J1612" s="21">
        <f t="shared" ref="J1612:K1612" si="2611">J1270</f>
        <v>34</v>
      </c>
      <c r="K1612" s="21">
        <f t="shared" si="2611"/>
        <v>32</v>
      </c>
      <c r="L1612" s="21">
        <f t="shared" ref="L1612:M1612" si="2612">L1270</f>
        <v>42</v>
      </c>
      <c r="M1612" s="21">
        <f t="shared" si="2612"/>
        <v>17</v>
      </c>
      <c r="N1612" s="150">
        <f t="shared" si="2541"/>
        <v>358</v>
      </c>
      <c r="O1612" s="22">
        <f t="shared" si="2542"/>
        <v>29.833333333333332</v>
      </c>
      <c r="P1612" s="103"/>
      <c r="Q1612" s="103"/>
      <c r="R1612" s="103"/>
      <c r="S1612" s="103"/>
      <c r="T1612" s="103"/>
      <c r="U1612" s="103"/>
      <c r="V1612" s="103"/>
      <c r="W1612" s="103"/>
      <c r="X1612" s="103"/>
      <c r="Y1612" s="103"/>
      <c r="Z1612" s="103"/>
    </row>
    <row r="1613" spans="1:26" s="9" customFormat="1" ht="15.75">
      <c r="A1613" s="44" t="s">
        <v>334</v>
      </c>
      <c r="B1613" s="21">
        <f t="shared" ref="B1613:G1613" si="2613">B1287</f>
        <v>12</v>
      </c>
      <c r="C1613" s="21">
        <f t="shared" si="2613"/>
        <v>19</v>
      </c>
      <c r="D1613" s="21">
        <f t="shared" si="2613"/>
        <v>10</v>
      </c>
      <c r="E1613" s="21">
        <f t="shared" si="2613"/>
        <v>0</v>
      </c>
      <c r="F1613" s="21">
        <f t="shared" si="2613"/>
        <v>0</v>
      </c>
      <c r="G1613" s="21">
        <f t="shared" si="2613"/>
        <v>16</v>
      </c>
      <c r="H1613" s="21">
        <f t="shared" ref="H1613:I1613" si="2614">H1287</f>
        <v>17</v>
      </c>
      <c r="I1613" s="21">
        <f t="shared" si="2614"/>
        <v>12</v>
      </c>
      <c r="J1613" s="21">
        <f t="shared" ref="J1613:K1613" si="2615">J1287</f>
        <v>13</v>
      </c>
      <c r="K1613" s="21">
        <f t="shared" si="2615"/>
        <v>0</v>
      </c>
      <c r="L1613" s="21">
        <f t="shared" ref="L1613:M1613" si="2616">L1287</f>
        <v>0</v>
      </c>
      <c r="M1613" s="21">
        <f t="shared" si="2616"/>
        <v>0</v>
      </c>
      <c r="N1613" s="150">
        <f t="shared" si="2541"/>
        <v>99</v>
      </c>
      <c r="O1613" s="22">
        <f t="shared" si="2542"/>
        <v>8.25</v>
      </c>
      <c r="P1613" s="103"/>
      <c r="Q1613" s="103"/>
      <c r="R1613" s="103"/>
      <c r="S1613" s="103"/>
      <c r="T1613" s="103"/>
      <c r="U1613" s="103"/>
      <c r="V1613" s="103"/>
      <c r="W1613" s="103"/>
      <c r="X1613" s="103"/>
      <c r="Y1613" s="103"/>
      <c r="Z1613" s="103"/>
    </row>
    <row r="1614" spans="1:26" s="9" customFormat="1" ht="15.75">
      <c r="A1614" s="53" t="s">
        <v>193</v>
      </c>
      <c r="B1614" s="21">
        <f t="shared" ref="B1614:G1614" si="2617">B1353</f>
        <v>99</v>
      </c>
      <c r="C1614" s="21">
        <f t="shared" si="2617"/>
        <v>87</v>
      </c>
      <c r="D1614" s="21">
        <f t="shared" si="2617"/>
        <v>69</v>
      </c>
      <c r="E1614" s="21">
        <f t="shared" si="2617"/>
        <v>51</v>
      </c>
      <c r="F1614" s="21">
        <f t="shared" si="2617"/>
        <v>64</v>
      </c>
      <c r="G1614" s="21">
        <f t="shared" si="2617"/>
        <v>85</v>
      </c>
      <c r="H1614" s="21">
        <f t="shared" ref="H1614:I1614" si="2618">H1353</f>
        <v>74</v>
      </c>
      <c r="I1614" s="21">
        <f t="shared" si="2618"/>
        <v>90</v>
      </c>
      <c r="J1614" s="21">
        <f t="shared" ref="J1614:K1614" si="2619">J1353</f>
        <v>86</v>
      </c>
      <c r="K1614" s="21">
        <f t="shared" si="2619"/>
        <v>92</v>
      </c>
      <c r="L1614" s="21">
        <f t="shared" ref="L1614:M1614" si="2620">L1353</f>
        <v>97</v>
      </c>
      <c r="M1614" s="21">
        <f t="shared" si="2620"/>
        <v>111</v>
      </c>
      <c r="N1614" s="150">
        <f t="shared" si="2541"/>
        <v>1005</v>
      </c>
      <c r="O1614" s="22">
        <f t="shared" si="2542"/>
        <v>83.75</v>
      </c>
      <c r="P1614" s="103"/>
      <c r="Q1614" s="103"/>
      <c r="R1614" s="103"/>
      <c r="S1614" s="103"/>
      <c r="T1614" s="103"/>
      <c r="U1614" s="103"/>
      <c r="V1614" s="103"/>
      <c r="W1614" s="103"/>
      <c r="X1614" s="103"/>
      <c r="Y1614" s="103"/>
      <c r="Z1614" s="103"/>
    </row>
    <row r="1615" spans="1:26" s="141" customFormat="1" ht="15.75">
      <c r="A1615" s="53" t="s">
        <v>194</v>
      </c>
      <c r="B1615" s="21">
        <f t="shared" ref="B1615:G1615" si="2621">B1398</f>
        <v>188</v>
      </c>
      <c r="C1615" s="21">
        <f t="shared" si="2621"/>
        <v>121</v>
      </c>
      <c r="D1615" s="21">
        <f t="shared" si="2621"/>
        <v>121</v>
      </c>
      <c r="E1615" s="21">
        <f t="shared" si="2621"/>
        <v>81</v>
      </c>
      <c r="F1615" s="21">
        <f t="shared" si="2621"/>
        <v>69</v>
      </c>
      <c r="G1615" s="21">
        <f t="shared" si="2621"/>
        <v>97</v>
      </c>
      <c r="H1615" s="21">
        <f t="shared" ref="H1615:I1615" si="2622">H1398</f>
        <v>0</v>
      </c>
      <c r="I1615" s="21">
        <f t="shared" si="2622"/>
        <v>172</v>
      </c>
      <c r="J1615" s="21">
        <f t="shared" ref="J1615:K1615" si="2623">J1398</f>
        <v>215</v>
      </c>
      <c r="K1615" s="21">
        <f t="shared" si="2623"/>
        <v>194</v>
      </c>
      <c r="L1615" s="21">
        <f t="shared" ref="L1615:M1615" si="2624">L1398</f>
        <v>185</v>
      </c>
      <c r="M1615" s="21">
        <f t="shared" si="2624"/>
        <v>156</v>
      </c>
      <c r="N1615" s="150">
        <f t="shared" si="2541"/>
        <v>1599</v>
      </c>
      <c r="O1615" s="22">
        <f t="shared" si="2542"/>
        <v>133.25</v>
      </c>
      <c r="P1615" s="140"/>
      <c r="Q1615" s="140"/>
      <c r="R1615" s="140"/>
      <c r="S1615" s="140"/>
      <c r="T1615" s="140"/>
      <c r="U1615" s="140"/>
      <c r="V1615" s="140"/>
      <c r="W1615" s="140"/>
      <c r="X1615" s="140"/>
      <c r="Y1615" s="140"/>
      <c r="Z1615" s="140"/>
    </row>
    <row r="1616" spans="1:26" s="9" customFormat="1" ht="15.75">
      <c r="A1616" s="37" t="s">
        <v>343</v>
      </c>
      <c r="B1616" s="21">
        <f t="shared" ref="B1616:G1616" si="2625">B1443</f>
        <v>33</v>
      </c>
      <c r="C1616" s="21">
        <f t="shared" si="2625"/>
        <v>22</v>
      </c>
      <c r="D1616" s="21">
        <f t="shared" si="2625"/>
        <v>20</v>
      </c>
      <c r="E1616" s="21">
        <f t="shared" si="2625"/>
        <v>11</v>
      </c>
      <c r="F1616" s="21">
        <f t="shared" si="2625"/>
        <v>21</v>
      </c>
      <c r="G1616" s="21">
        <f t="shared" si="2625"/>
        <v>36</v>
      </c>
      <c r="H1616" s="21">
        <f t="shared" ref="H1616:I1616" si="2626">H1443</f>
        <v>10</v>
      </c>
      <c r="I1616" s="21">
        <f t="shared" si="2626"/>
        <v>44</v>
      </c>
      <c r="J1616" s="21">
        <f t="shared" ref="J1616:K1616" si="2627">J1443</f>
        <v>42</v>
      </c>
      <c r="K1616" s="21">
        <f t="shared" si="2627"/>
        <v>0</v>
      </c>
      <c r="L1616" s="21">
        <f t="shared" ref="L1616:M1616" si="2628">L1443</f>
        <v>0</v>
      </c>
      <c r="M1616" s="21">
        <f t="shared" si="2628"/>
        <v>0</v>
      </c>
      <c r="N1616" s="150">
        <f t="shared" si="2541"/>
        <v>239</v>
      </c>
      <c r="O1616" s="22">
        <f t="shared" si="2542"/>
        <v>19.916666666666668</v>
      </c>
      <c r="P1616" s="103"/>
      <c r="Q1616" s="103"/>
      <c r="R1616" s="103"/>
      <c r="S1616" s="103"/>
      <c r="T1616" s="103"/>
      <c r="U1616" s="103"/>
      <c r="V1616" s="103"/>
      <c r="W1616" s="103"/>
      <c r="X1616" s="103"/>
      <c r="Y1616" s="103"/>
      <c r="Z1616" s="103"/>
    </row>
    <row r="1617" spans="1:26" s="9" customFormat="1" ht="15.75">
      <c r="A1617" s="73" t="s">
        <v>21</v>
      </c>
      <c r="B1617" s="24">
        <f t="shared" ref="B1617:G1617" si="2629">SUM(B1593:B1616)</f>
        <v>13293</v>
      </c>
      <c r="C1617" s="24">
        <f t="shared" si="2629"/>
        <v>11788</v>
      </c>
      <c r="D1617" s="24">
        <f t="shared" si="2629"/>
        <v>13258</v>
      </c>
      <c r="E1617" s="24">
        <f t="shared" si="2629"/>
        <v>8465</v>
      </c>
      <c r="F1617" s="24">
        <f t="shared" si="2629"/>
        <v>7578</v>
      </c>
      <c r="G1617" s="24">
        <f t="shared" si="2629"/>
        <v>11602</v>
      </c>
      <c r="H1617" s="24">
        <f t="shared" ref="H1617:I1617" si="2630">SUM(H1593:H1616)</f>
        <v>13189</v>
      </c>
      <c r="I1617" s="24">
        <f t="shared" si="2630"/>
        <v>13637</v>
      </c>
      <c r="J1617" s="24">
        <f t="shared" ref="J1617:K1617" si="2631">SUM(J1593:J1616)</f>
        <v>13830</v>
      </c>
      <c r="K1617" s="24">
        <f t="shared" si="2631"/>
        <v>16462</v>
      </c>
      <c r="L1617" s="24">
        <f t="shared" ref="L1617:M1617" si="2632">SUM(L1593:L1616)</f>
        <v>15924</v>
      </c>
      <c r="M1617" s="24">
        <f t="shared" si="2632"/>
        <v>13967</v>
      </c>
      <c r="N1617" s="156">
        <f>SUM(N1593:N1616)</f>
        <v>152993</v>
      </c>
      <c r="O1617" s="48">
        <f>SUM(O1593:O1615)</f>
        <v>12729.499999999998</v>
      </c>
      <c r="P1617" s="103"/>
      <c r="Q1617" s="103"/>
      <c r="R1617" s="103"/>
      <c r="S1617" s="103"/>
      <c r="T1617" s="103"/>
      <c r="U1617" s="103"/>
      <c r="V1617" s="103"/>
      <c r="W1617" s="103"/>
      <c r="X1617" s="103"/>
      <c r="Y1617" s="103"/>
      <c r="Z1617" s="103"/>
    </row>
    <row r="1618" spans="1:26" s="9" customFormat="1">
      <c r="A1618" s="263"/>
      <c r="B1618" s="271"/>
      <c r="C1618" s="271"/>
      <c r="D1618" s="271"/>
      <c r="E1618" s="271"/>
      <c r="F1618" s="271"/>
      <c r="G1618" s="271"/>
      <c r="H1618" s="271"/>
      <c r="I1618" s="271"/>
      <c r="J1618" s="271"/>
      <c r="K1618" s="271"/>
      <c r="L1618" s="271"/>
      <c r="M1618" s="271"/>
      <c r="N1618" s="272"/>
      <c r="O1618" s="52"/>
      <c r="P1618" s="103"/>
      <c r="Q1618" s="103"/>
      <c r="R1618" s="103"/>
      <c r="S1618" s="103"/>
      <c r="T1618" s="103"/>
      <c r="U1618" s="103"/>
      <c r="V1618" s="103"/>
      <c r="W1618" s="103"/>
      <c r="X1618" s="103"/>
      <c r="Y1618" s="103"/>
      <c r="Z1618" s="103"/>
    </row>
    <row r="1619" spans="1:26" s="217" customFormat="1" ht="15.75">
      <c r="A1619" s="131" t="s">
        <v>812</v>
      </c>
      <c r="B1619" s="270">
        <f t="shared" ref="B1619:G1619" si="2633">B1589</f>
        <v>9455</v>
      </c>
      <c r="C1619" s="270">
        <f t="shared" si="2633"/>
        <v>7622</v>
      </c>
      <c r="D1619" s="270">
        <f t="shared" si="2633"/>
        <v>6910</v>
      </c>
      <c r="E1619" s="270">
        <f t="shared" si="2633"/>
        <v>6383</v>
      </c>
      <c r="F1619" s="270">
        <f t="shared" si="2633"/>
        <v>6406</v>
      </c>
      <c r="G1619" s="270">
        <f t="shared" si="2633"/>
        <v>6542</v>
      </c>
      <c r="H1619" s="270">
        <f t="shared" ref="H1619:I1619" si="2634">H1589</f>
        <v>9465</v>
      </c>
      <c r="I1619" s="270">
        <f t="shared" si="2634"/>
        <v>9589</v>
      </c>
      <c r="J1619" s="270">
        <f t="shared" ref="J1619:K1619" si="2635">J1589</f>
        <v>9000</v>
      </c>
      <c r="K1619" s="270">
        <f t="shared" si="2635"/>
        <v>6861</v>
      </c>
      <c r="L1619" s="270">
        <f t="shared" ref="L1619:M1619" si="2636">L1589</f>
        <v>6836</v>
      </c>
      <c r="M1619" s="270">
        <f t="shared" si="2636"/>
        <v>6736</v>
      </c>
      <c r="N1619" s="155">
        <f>SUM(B1619:M1619)</f>
        <v>91805</v>
      </c>
      <c r="O1619" s="45">
        <f>AVERAGE(B1619:M1619)</f>
        <v>7650.416666666667</v>
      </c>
    </row>
    <row r="1620" spans="1:26" s="9" customFormat="1" ht="15.75">
      <c r="A1620" s="131" t="s">
        <v>813</v>
      </c>
      <c r="B1620" s="270">
        <f t="shared" ref="B1620:C1620" si="2637">B1617</f>
        <v>13293</v>
      </c>
      <c r="C1620" s="270">
        <f t="shared" si="2637"/>
        <v>11788</v>
      </c>
      <c r="D1620" s="270">
        <f t="shared" ref="D1620:E1620" si="2638">D1617</f>
        <v>13258</v>
      </c>
      <c r="E1620" s="270">
        <f t="shared" si="2638"/>
        <v>8465</v>
      </c>
      <c r="F1620" s="270">
        <f t="shared" ref="F1620:G1620" si="2639">F1617</f>
        <v>7578</v>
      </c>
      <c r="G1620" s="270">
        <f t="shared" si="2639"/>
        <v>11602</v>
      </c>
      <c r="H1620" s="270">
        <f t="shared" ref="H1620:I1620" si="2640">H1617</f>
        <v>13189</v>
      </c>
      <c r="I1620" s="270">
        <f t="shared" si="2640"/>
        <v>13637</v>
      </c>
      <c r="J1620" s="270">
        <f t="shared" ref="J1620:K1620" si="2641">J1617</f>
        <v>13830</v>
      </c>
      <c r="K1620" s="270">
        <f t="shared" si="2641"/>
        <v>16462</v>
      </c>
      <c r="L1620" s="270">
        <f t="shared" ref="L1620:M1620" si="2642">L1617</f>
        <v>15924</v>
      </c>
      <c r="M1620" s="270">
        <f t="shared" si="2642"/>
        <v>13967</v>
      </c>
      <c r="N1620" s="155">
        <f>SUM(B1620:M1620)</f>
        <v>152993</v>
      </c>
      <c r="O1620" s="45">
        <f>AVERAGE(B1620:M1620)</f>
        <v>12749.416666666666</v>
      </c>
      <c r="P1620" s="103"/>
      <c r="Q1620" s="103"/>
      <c r="R1620" s="103"/>
      <c r="S1620" s="103"/>
      <c r="T1620" s="103"/>
      <c r="U1620" s="103"/>
      <c r="V1620" s="103"/>
      <c r="W1620" s="103"/>
      <c r="X1620" s="103"/>
      <c r="Y1620" s="103"/>
      <c r="Z1620" s="103"/>
    </row>
    <row r="1621" spans="1:26" s="9" customFormat="1" ht="15.75">
      <c r="A1621" s="273" t="s">
        <v>814</v>
      </c>
      <c r="B1621" s="47">
        <f t="shared" ref="B1621:C1621" si="2643">SUM(B1619:B1620)</f>
        <v>22748</v>
      </c>
      <c r="C1621" s="47">
        <f t="shared" si="2643"/>
        <v>19410</v>
      </c>
      <c r="D1621" s="47">
        <f t="shared" ref="D1621:E1621" si="2644">SUM(D1619:D1620)</f>
        <v>20168</v>
      </c>
      <c r="E1621" s="47">
        <f t="shared" si="2644"/>
        <v>14848</v>
      </c>
      <c r="F1621" s="47">
        <f t="shared" ref="F1621:G1621" si="2645">SUM(F1619:F1620)</f>
        <v>13984</v>
      </c>
      <c r="G1621" s="47">
        <f t="shared" si="2645"/>
        <v>18144</v>
      </c>
      <c r="H1621" s="47">
        <f t="shared" ref="H1621:I1621" si="2646">SUM(H1619:H1620)</f>
        <v>22654</v>
      </c>
      <c r="I1621" s="47">
        <f t="shared" si="2646"/>
        <v>23226</v>
      </c>
      <c r="J1621" s="47">
        <f t="shared" ref="J1621:K1621" si="2647">SUM(J1619:J1620)</f>
        <v>22830</v>
      </c>
      <c r="K1621" s="47">
        <f t="shared" si="2647"/>
        <v>23323</v>
      </c>
      <c r="L1621" s="47">
        <f t="shared" ref="L1621:M1621" si="2648">SUM(L1619:L1620)</f>
        <v>22760</v>
      </c>
      <c r="M1621" s="47">
        <f t="shared" si="2648"/>
        <v>20703</v>
      </c>
      <c r="N1621" s="48">
        <f>SUM(B1621:M1621)</f>
        <v>244798</v>
      </c>
      <c r="O1621" s="48">
        <f>AVERAGE(B1621:M1621)</f>
        <v>20399.833333333332</v>
      </c>
      <c r="P1621" s="103"/>
      <c r="Q1621" s="103"/>
      <c r="R1621" s="103"/>
      <c r="S1621" s="103"/>
      <c r="T1621" s="103"/>
      <c r="U1621" s="103"/>
      <c r="V1621" s="103"/>
      <c r="W1621" s="103"/>
      <c r="X1621" s="103"/>
      <c r="Y1621" s="103"/>
      <c r="Z1621" s="103"/>
    </row>
    <row r="1622" spans="1:26" s="9" customFormat="1">
      <c r="A1622" s="250"/>
      <c r="B1622" s="251"/>
      <c r="C1622" s="251"/>
      <c r="D1622" s="251"/>
      <c r="E1622" s="251"/>
      <c r="F1622" s="251"/>
      <c r="G1622" s="251"/>
      <c r="H1622" s="251"/>
      <c r="I1622" s="251"/>
      <c r="J1622" s="251"/>
      <c r="K1622" s="251"/>
      <c r="L1622" s="251"/>
      <c r="M1622" s="251"/>
      <c r="N1622" s="252"/>
      <c r="O1622" s="253"/>
    </row>
    <row r="1623" spans="1:26" s="9" customFormat="1" ht="15.75">
      <c r="A1623" s="17" t="s">
        <v>815</v>
      </c>
      <c r="B1623" s="18"/>
      <c r="C1623" s="18"/>
      <c r="D1623" s="18"/>
      <c r="E1623" s="18"/>
      <c r="F1623" s="18"/>
      <c r="G1623" s="18"/>
      <c r="H1623" s="18"/>
      <c r="I1623" s="18"/>
      <c r="J1623" s="18"/>
      <c r="K1623" s="18"/>
      <c r="L1623" s="18"/>
      <c r="M1623" s="18"/>
      <c r="N1623" s="149"/>
      <c r="O1623" s="19"/>
    </row>
    <row r="1624" spans="1:26" s="9" customFormat="1" ht="15.75">
      <c r="A1624" s="206" t="s">
        <v>816</v>
      </c>
      <c r="B1624" s="200"/>
      <c r="C1624" s="200"/>
      <c r="D1624" s="200"/>
      <c r="E1624" s="200"/>
      <c r="F1624" s="200"/>
      <c r="G1624" s="200"/>
      <c r="H1624" s="200"/>
      <c r="I1624" s="200"/>
      <c r="J1624" s="200"/>
      <c r="K1624" s="200"/>
      <c r="L1624" s="200"/>
      <c r="M1624" s="200"/>
      <c r="N1624" s="207"/>
      <c r="O1624" s="208"/>
      <c r="P1624" s="103"/>
      <c r="Q1624" s="103"/>
      <c r="R1624" s="103"/>
      <c r="S1624" s="103"/>
      <c r="T1624" s="103"/>
      <c r="U1624" s="103"/>
      <c r="V1624" s="103"/>
      <c r="W1624" s="103"/>
      <c r="X1624" s="103"/>
      <c r="Y1624" s="103"/>
      <c r="Z1624" s="103"/>
    </row>
    <row r="1625" spans="1:26" s="9" customFormat="1" ht="15.75">
      <c r="A1625" s="44" t="s">
        <v>359</v>
      </c>
      <c r="B1625" s="38">
        <f t="shared" ref="B1625:G1625" si="2649">B1459</f>
        <v>1411</v>
      </c>
      <c r="C1625" s="38">
        <f t="shared" si="2649"/>
        <v>1503</v>
      </c>
      <c r="D1625" s="38">
        <f t="shared" si="2649"/>
        <v>1451</v>
      </c>
      <c r="E1625" s="38">
        <f t="shared" si="2649"/>
        <v>1555</v>
      </c>
      <c r="F1625" s="38">
        <f t="shared" si="2649"/>
        <v>1475</v>
      </c>
      <c r="G1625" s="38">
        <f t="shared" si="2649"/>
        <v>1415</v>
      </c>
      <c r="H1625" s="38">
        <f t="shared" ref="H1625:I1625" si="2650">H1459</f>
        <v>1352</v>
      </c>
      <c r="I1625" s="38">
        <f t="shared" si="2650"/>
        <v>1449</v>
      </c>
      <c r="J1625" s="38">
        <f t="shared" ref="J1625:K1625" si="2651">J1459</f>
        <v>1633</v>
      </c>
      <c r="K1625" s="38">
        <f t="shared" si="2651"/>
        <v>1570</v>
      </c>
      <c r="L1625" s="38">
        <f t="shared" ref="L1625:M1625" si="2652">L1459</f>
        <v>1431</v>
      </c>
      <c r="M1625" s="38">
        <f t="shared" si="2652"/>
        <v>1389</v>
      </c>
      <c r="N1625" s="155">
        <f t="shared" ref="N1625:N1629" si="2653">SUM(B1625:M1625)</f>
        <v>17634</v>
      </c>
      <c r="O1625" s="45">
        <f t="shared" ref="O1625:O1629" si="2654">AVERAGE(B1625:M1625)</f>
        <v>1469.5</v>
      </c>
      <c r="P1625" s="103"/>
      <c r="Q1625" s="103"/>
      <c r="R1625" s="103"/>
      <c r="S1625" s="103"/>
      <c r="T1625" s="103"/>
      <c r="U1625" s="103"/>
      <c r="V1625" s="103"/>
      <c r="W1625" s="103"/>
      <c r="X1625" s="103"/>
      <c r="Y1625" s="103"/>
      <c r="Z1625" s="103"/>
    </row>
    <row r="1626" spans="1:26" s="9" customFormat="1" ht="15.75">
      <c r="A1626" s="44" t="s">
        <v>360</v>
      </c>
      <c r="B1626" s="38">
        <f t="shared" ref="B1626:G1626" si="2655">B1481</f>
        <v>90</v>
      </c>
      <c r="C1626" s="38">
        <f t="shared" si="2655"/>
        <v>162</v>
      </c>
      <c r="D1626" s="38">
        <f t="shared" si="2655"/>
        <v>148</v>
      </c>
      <c r="E1626" s="38">
        <f t="shared" si="2655"/>
        <v>133</v>
      </c>
      <c r="F1626" s="38">
        <f t="shared" si="2655"/>
        <v>108</v>
      </c>
      <c r="G1626" s="38">
        <f t="shared" si="2655"/>
        <v>94</v>
      </c>
      <c r="H1626" s="38">
        <f t="shared" ref="H1626:I1626" si="2656">H1481</f>
        <v>92</v>
      </c>
      <c r="I1626" s="38">
        <f t="shared" si="2656"/>
        <v>132</v>
      </c>
      <c r="J1626" s="38">
        <f t="shared" ref="J1626:K1626" si="2657">J1481</f>
        <v>167</v>
      </c>
      <c r="K1626" s="38">
        <f t="shared" si="2657"/>
        <v>165</v>
      </c>
      <c r="L1626" s="38">
        <f t="shared" ref="L1626:M1626" si="2658">L1481</f>
        <v>129</v>
      </c>
      <c r="M1626" s="38">
        <f t="shared" si="2658"/>
        <v>160</v>
      </c>
      <c r="N1626" s="155">
        <f t="shared" si="2653"/>
        <v>1580</v>
      </c>
      <c r="O1626" s="45">
        <f t="shared" si="2654"/>
        <v>131.66666666666666</v>
      </c>
      <c r="P1626" s="103"/>
      <c r="Q1626" s="103"/>
      <c r="R1626" s="103"/>
      <c r="S1626" s="103"/>
      <c r="T1626" s="103"/>
      <c r="U1626" s="103"/>
      <c r="V1626" s="103"/>
      <c r="W1626" s="103"/>
      <c r="X1626" s="103"/>
      <c r="Y1626" s="103"/>
      <c r="Z1626" s="103"/>
    </row>
    <row r="1627" spans="1:26" s="9" customFormat="1" ht="15.75">
      <c r="A1627" s="44" t="s">
        <v>196</v>
      </c>
      <c r="B1627" s="38">
        <f t="shared" ref="B1627:G1627" si="2659">B1506</f>
        <v>105</v>
      </c>
      <c r="C1627" s="38">
        <f t="shared" si="2659"/>
        <v>71</v>
      </c>
      <c r="D1627" s="38">
        <f t="shared" si="2659"/>
        <v>40</v>
      </c>
      <c r="E1627" s="38">
        <f t="shared" si="2659"/>
        <v>33</v>
      </c>
      <c r="F1627" s="38">
        <f t="shared" si="2659"/>
        <v>79</v>
      </c>
      <c r="G1627" s="38">
        <f t="shared" si="2659"/>
        <v>82</v>
      </c>
      <c r="H1627" s="38">
        <f t="shared" ref="H1627:I1627" si="2660">H1506</f>
        <v>56</v>
      </c>
      <c r="I1627" s="38">
        <f t="shared" si="2660"/>
        <v>89</v>
      </c>
      <c r="J1627" s="38">
        <f t="shared" ref="J1627:K1627" si="2661">J1506</f>
        <v>108</v>
      </c>
      <c r="K1627" s="38">
        <f t="shared" si="2661"/>
        <v>36</v>
      </c>
      <c r="L1627" s="38">
        <f t="shared" ref="L1627:M1627" si="2662">L1506</f>
        <v>13</v>
      </c>
      <c r="M1627" s="38">
        <f t="shared" si="2662"/>
        <v>25</v>
      </c>
      <c r="N1627" s="155">
        <f t="shared" si="2653"/>
        <v>737</v>
      </c>
      <c r="O1627" s="45">
        <f t="shared" si="2654"/>
        <v>61.416666666666664</v>
      </c>
      <c r="P1627" s="103"/>
      <c r="Q1627" s="103"/>
      <c r="R1627" s="103"/>
      <c r="S1627" s="103"/>
      <c r="T1627" s="103"/>
      <c r="U1627" s="103"/>
      <c r="V1627" s="103"/>
      <c r="W1627" s="103"/>
      <c r="X1627" s="103"/>
      <c r="Y1627" s="103"/>
      <c r="Z1627" s="103"/>
    </row>
    <row r="1628" spans="1:26" s="9" customFormat="1" ht="15.75">
      <c r="A1628" s="44" t="s">
        <v>301</v>
      </c>
      <c r="B1628" s="38">
        <f t="shared" ref="B1628:G1628" si="2663">B1515</f>
        <v>54</v>
      </c>
      <c r="C1628" s="38">
        <f t="shared" si="2663"/>
        <v>45</v>
      </c>
      <c r="D1628" s="38">
        <f t="shared" si="2663"/>
        <v>45</v>
      </c>
      <c r="E1628" s="38">
        <f t="shared" si="2663"/>
        <v>35</v>
      </c>
      <c r="F1628" s="38">
        <f t="shared" si="2663"/>
        <v>44</v>
      </c>
      <c r="G1628" s="38">
        <f t="shared" si="2663"/>
        <v>27</v>
      </c>
      <c r="H1628" s="38">
        <f t="shared" ref="H1628:I1628" si="2664">H1515</f>
        <v>27</v>
      </c>
      <c r="I1628" s="38">
        <f t="shared" si="2664"/>
        <v>31</v>
      </c>
      <c r="J1628" s="38">
        <f t="shared" ref="J1628:K1628" si="2665">J1515</f>
        <v>49</v>
      </c>
      <c r="K1628" s="38">
        <f t="shared" si="2665"/>
        <v>22</v>
      </c>
      <c r="L1628" s="38">
        <f t="shared" ref="L1628:M1628" si="2666">L1515</f>
        <v>18</v>
      </c>
      <c r="M1628" s="38">
        <f t="shared" si="2666"/>
        <v>17</v>
      </c>
      <c r="N1628" s="155">
        <f t="shared" si="2653"/>
        <v>414</v>
      </c>
      <c r="O1628" s="45">
        <f t="shared" si="2654"/>
        <v>34.5</v>
      </c>
    </row>
    <row r="1629" spans="1:26" s="9" customFormat="1" ht="15.75">
      <c r="A1629" s="44" t="s">
        <v>318</v>
      </c>
      <c r="B1629" s="38">
        <f t="shared" ref="B1629:G1629" si="2667">B1533</f>
        <v>26</v>
      </c>
      <c r="C1629" s="38">
        <f t="shared" si="2667"/>
        <v>20</v>
      </c>
      <c r="D1629" s="38">
        <f t="shared" si="2667"/>
        <v>17</v>
      </c>
      <c r="E1629" s="38">
        <f t="shared" si="2667"/>
        <v>8</v>
      </c>
      <c r="F1629" s="38">
        <f t="shared" si="2667"/>
        <v>17</v>
      </c>
      <c r="G1629" s="38">
        <f t="shared" si="2667"/>
        <v>19</v>
      </c>
      <c r="H1629" s="38">
        <f t="shared" ref="H1629:I1629" si="2668">H1533</f>
        <v>27</v>
      </c>
      <c r="I1629" s="38">
        <f t="shared" si="2668"/>
        <v>16</v>
      </c>
      <c r="J1629" s="38">
        <f t="shared" ref="J1629:K1629" si="2669">J1533</f>
        <v>24</v>
      </c>
      <c r="K1629" s="38">
        <f t="shared" si="2669"/>
        <v>25</v>
      </c>
      <c r="L1629" s="38">
        <f t="shared" ref="L1629:M1629" si="2670">L1533</f>
        <v>34</v>
      </c>
      <c r="M1629" s="38">
        <f t="shared" si="2670"/>
        <v>37</v>
      </c>
      <c r="N1629" s="155">
        <f t="shared" si="2653"/>
        <v>270</v>
      </c>
      <c r="O1629" s="45">
        <f t="shared" si="2654"/>
        <v>22.5</v>
      </c>
      <c r="P1629" s="103"/>
      <c r="Q1629" s="103"/>
      <c r="R1629" s="103"/>
      <c r="S1629" s="103"/>
      <c r="T1629" s="103"/>
      <c r="U1629" s="103"/>
      <c r="V1629" s="103"/>
      <c r="W1629" s="103"/>
      <c r="X1629" s="103"/>
      <c r="Y1629" s="103"/>
      <c r="Z1629" s="103"/>
    </row>
    <row r="1630" spans="1:26" s="9" customFormat="1" ht="15.75">
      <c r="A1630" s="73" t="s">
        <v>189</v>
      </c>
      <c r="B1630" s="47">
        <f t="shared" ref="B1630:G1630" si="2671">SUM(B1625:B1629)</f>
        <v>1686</v>
      </c>
      <c r="C1630" s="47">
        <f t="shared" si="2671"/>
        <v>1801</v>
      </c>
      <c r="D1630" s="47">
        <f t="shared" si="2671"/>
        <v>1701</v>
      </c>
      <c r="E1630" s="47">
        <f t="shared" si="2671"/>
        <v>1764</v>
      </c>
      <c r="F1630" s="47">
        <f t="shared" si="2671"/>
        <v>1723</v>
      </c>
      <c r="G1630" s="47">
        <f t="shared" si="2671"/>
        <v>1637</v>
      </c>
      <c r="H1630" s="47">
        <f t="shared" ref="H1630:I1630" si="2672">SUM(H1625:H1629)</f>
        <v>1554</v>
      </c>
      <c r="I1630" s="47">
        <f t="shared" si="2672"/>
        <v>1717</v>
      </c>
      <c r="J1630" s="47">
        <f t="shared" ref="J1630:K1630" si="2673">SUM(J1625:J1629)</f>
        <v>1981</v>
      </c>
      <c r="K1630" s="47">
        <f t="shared" si="2673"/>
        <v>1818</v>
      </c>
      <c r="L1630" s="47">
        <f t="shared" ref="L1630:M1630" si="2674">SUM(L1625:L1629)</f>
        <v>1625</v>
      </c>
      <c r="M1630" s="47">
        <f t="shared" si="2674"/>
        <v>1628</v>
      </c>
      <c r="N1630" s="156">
        <f>SUM(N1625:N1629)</f>
        <v>20635</v>
      </c>
      <c r="O1630" s="48">
        <f>AVERAGE(B1630:M1630)</f>
        <v>1719.5833333333333</v>
      </c>
      <c r="P1630" s="103"/>
      <c r="Q1630" s="103"/>
      <c r="R1630" s="103"/>
      <c r="S1630" s="103"/>
      <c r="T1630" s="103"/>
      <c r="U1630" s="103"/>
      <c r="V1630" s="103"/>
      <c r="W1630" s="103"/>
      <c r="X1630" s="103"/>
      <c r="Y1630" s="103"/>
      <c r="Z1630" s="103"/>
    </row>
    <row r="1631" spans="1:26" s="9" customFormat="1">
      <c r="A1631" s="74"/>
      <c r="B1631" s="75"/>
      <c r="C1631" s="75"/>
      <c r="D1631" s="75"/>
      <c r="E1631" s="75"/>
      <c r="F1631" s="75"/>
      <c r="G1631" s="75"/>
      <c r="H1631" s="75"/>
      <c r="I1631" s="75"/>
      <c r="J1631" s="75"/>
      <c r="K1631" s="75"/>
      <c r="L1631" s="75"/>
      <c r="M1631" s="75"/>
      <c r="N1631" s="163"/>
      <c r="O1631" s="76"/>
      <c r="P1631" s="103"/>
      <c r="Q1631" s="103"/>
      <c r="R1631" s="103"/>
      <c r="S1631" s="103"/>
      <c r="T1631" s="103"/>
      <c r="U1631" s="103"/>
      <c r="V1631" s="103"/>
      <c r="W1631" s="103"/>
      <c r="X1631" s="103"/>
      <c r="Y1631" s="103"/>
      <c r="Z1631" s="103"/>
    </row>
    <row r="1632" spans="1:26" s="9" customFormat="1" ht="15.75">
      <c r="A1632" s="209" t="s">
        <v>197</v>
      </c>
      <c r="B1632" s="210"/>
      <c r="C1632" s="210"/>
      <c r="D1632" s="210"/>
      <c r="E1632" s="210"/>
      <c r="F1632" s="210"/>
      <c r="G1632" s="210"/>
      <c r="H1632" s="210"/>
      <c r="I1632" s="210"/>
      <c r="J1632" s="210"/>
      <c r="K1632" s="210"/>
      <c r="L1632" s="210"/>
      <c r="M1632" s="210"/>
      <c r="N1632" s="211"/>
      <c r="O1632" s="212"/>
      <c r="P1632" s="103"/>
      <c r="Q1632" s="103"/>
      <c r="R1632" s="103"/>
      <c r="S1632" s="103"/>
      <c r="T1632" s="103"/>
      <c r="U1632" s="103"/>
      <c r="V1632" s="103"/>
      <c r="W1632" s="103"/>
      <c r="X1632" s="103"/>
      <c r="Y1632" s="103"/>
      <c r="Z1632" s="103"/>
    </row>
    <row r="1633" spans="1:26" s="9" customFormat="1">
      <c r="A1633" s="56"/>
      <c r="B1633" s="54"/>
      <c r="C1633" s="54"/>
      <c r="D1633" s="54"/>
      <c r="E1633" s="55"/>
      <c r="F1633" s="55"/>
      <c r="G1633" s="55"/>
      <c r="H1633" s="55"/>
      <c r="I1633" s="55"/>
      <c r="J1633" s="55"/>
      <c r="K1633" s="55"/>
      <c r="L1633" s="55"/>
      <c r="M1633" s="55"/>
      <c r="N1633" s="158"/>
      <c r="O1633" s="16"/>
      <c r="P1633" s="103"/>
      <c r="Q1633" s="103"/>
      <c r="R1633" s="103"/>
      <c r="S1633" s="103"/>
      <c r="T1633" s="103"/>
      <c r="U1633" s="103"/>
      <c r="V1633" s="103"/>
      <c r="W1633" s="103"/>
      <c r="X1633" s="103"/>
      <c r="Y1633" s="103"/>
      <c r="Z1633" s="103"/>
    </row>
    <row r="1634" spans="1:26" s="9" customFormat="1" ht="15.75">
      <c r="A1634" s="17" t="s">
        <v>198</v>
      </c>
      <c r="B1634" s="30"/>
      <c r="C1634" s="30"/>
      <c r="D1634" s="30"/>
      <c r="E1634" s="30"/>
      <c r="F1634" s="30"/>
      <c r="G1634" s="30"/>
      <c r="H1634" s="30"/>
      <c r="I1634" s="30"/>
      <c r="J1634" s="30"/>
      <c r="K1634" s="30"/>
      <c r="L1634" s="30"/>
      <c r="M1634" s="30"/>
      <c r="N1634" s="152"/>
      <c r="O1634" s="31"/>
      <c r="P1634" s="103"/>
      <c r="Q1634" s="103"/>
      <c r="R1634" s="103"/>
      <c r="S1634" s="103"/>
      <c r="T1634" s="103"/>
      <c r="U1634" s="103"/>
      <c r="V1634" s="103"/>
      <c r="W1634" s="103"/>
      <c r="X1634" s="103"/>
      <c r="Y1634" s="103"/>
      <c r="Z1634" s="103"/>
    </row>
    <row r="1635" spans="1:26" s="9" customFormat="1" ht="15.75">
      <c r="A1635" s="66" t="s">
        <v>199</v>
      </c>
      <c r="B1635" s="81"/>
      <c r="C1635" s="81"/>
      <c r="D1635" s="81"/>
      <c r="E1635" s="81"/>
      <c r="F1635" s="81"/>
      <c r="G1635" s="81"/>
      <c r="H1635" s="81"/>
      <c r="I1635" s="81"/>
      <c r="J1635" s="81"/>
      <c r="K1635" s="81"/>
      <c r="L1635" s="81"/>
      <c r="M1635" s="81"/>
      <c r="N1635" s="165"/>
      <c r="O1635" s="82"/>
      <c r="P1635" s="103"/>
      <c r="Q1635" s="103"/>
      <c r="R1635" s="103"/>
      <c r="S1635" s="103"/>
      <c r="T1635" s="103"/>
      <c r="U1635" s="103"/>
      <c r="V1635" s="103"/>
      <c r="W1635" s="103"/>
      <c r="X1635" s="103"/>
      <c r="Y1635" s="103"/>
      <c r="Z1635" s="103"/>
    </row>
    <row r="1636" spans="1:26" s="9" customFormat="1" ht="15.75">
      <c r="A1636" s="37" t="s">
        <v>200</v>
      </c>
      <c r="B1636" s="21">
        <v>2344</v>
      </c>
      <c r="C1636" s="21">
        <v>2048</v>
      </c>
      <c r="D1636" s="21">
        <v>2065</v>
      </c>
      <c r="E1636" s="21">
        <v>1601</v>
      </c>
      <c r="F1636" s="21">
        <v>1381</v>
      </c>
      <c r="G1636" s="21">
        <v>1815</v>
      </c>
      <c r="H1636" s="21">
        <v>2173</v>
      </c>
      <c r="I1636" s="21">
        <v>2366</v>
      </c>
      <c r="J1636" s="87">
        <v>2331</v>
      </c>
      <c r="K1636" s="87">
        <v>1814</v>
      </c>
      <c r="L1636" s="21">
        <v>1787</v>
      </c>
      <c r="M1636" s="21">
        <v>1925</v>
      </c>
      <c r="N1636" s="150">
        <f t="shared" ref="N1636:N1644" si="2675">SUM(B1636:M1636)</f>
        <v>23650</v>
      </c>
      <c r="O1636" s="22">
        <f t="shared" ref="O1636:O1644" si="2676">IF(N1636=0,0,AVERAGE(B1636:M1636))</f>
        <v>1970.8333333333333</v>
      </c>
      <c r="P1636" s="103"/>
      <c r="Q1636" s="103"/>
      <c r="R1636" s="103"/>
      <c r="S1636" s="103"/>
      <c r="T1636" s="103"/>
      <c r="U1636" s="103"/>
      <c r="V1636" s="103"/>
      <c r="W1636" s="103"/>
      <c r="X1636" s="103"/>
      <c r="Y1636" s="103"/>
      <c r="Z1636" s="103"/>
    </row>
    <row r="1637" spans="1:26" s="9" customFormat="1" ht="15.75">
      <c r="A1637" s="37" t="s">
        <v>201</v>
      </c>
      <c r="B1637" s="21">
        <v>1224</v>
      </c>
      <c r="C1637" s="21">
        <v>1077</v>
      </c>
      <c r="D1637" s="21">
        <v>1059</v>
      </c>
      <c r="E1637" s="21">
        <v>828</v>
      </c>
      <c r="F1637" s="21">
        <v>740</v>
      </c>
      <c r="G1637" s="21">
        <v>953</v>
      </c>
      <c r="H1637" s="21">
        <v>1113</v>
      </c>
      <c r="I1637" s="21">
        <v>1271</v>
      </c>
      <c r="J1637" s="87">
        <v>1253</v>
      </c>
      <c r="K1637" s="87">
        <v>879</v>
      </c>
      <c r="L1637" s="21">
        <v>900</v>
      </c>
      <c r="M1637" s="21">
        <v>943</v>
      </c>
      <c r="N1637" s="150">
        <f t="shared" si="2675"/>
        <v>12240</v>
      </c>
      <c r="O1637" s="22">
        <f t="shared" si="2676"/>
        <v>1020</v>
      </c>
      <c r="P1637" s="103"/>
      <c r="Q1637" s="103"/>
      <c r="R1637" s="103"/>
      <c r="S1637" s="103"/>
      <c r="T1637" s="103"/>
      <c r="U1637" s="103"/>
      <c r="V1637" s="103"/>
      <c r="W1637" s="103"/>
      <c r="X1637" s="103"/>
      <c r="Y1637" s="103"/>
      <c r="Z1637" s="103"/>
    </row>
    <row r="1638" spans="1:26" s="9" customFormat="1" ht="15.75">
      <c r="A1638" s="37" t="s">
        <v>202</v>
      </c>
      <c r="B1638" s="21">
        <v>4325</v>
      </c>
      <c r="C1638" s="21">
        <v>4275</v>
      </c>
      <c r="D1638" s="21">
        <v>4555</v>
      </c>
      <c r="E1638" s="21">
        <v>3460</v>
      </c>
      <c r="F1638" s="21">
        <v>3032</v>
      </c>
      <c r="G1638" s="21">
        <v>3568</v>
      </c>
      <c r="H1638" s="21">
        <v>4111</v>
      </c>
      <c r="I1638" s="21">
        <v>4057</v>
      </c>
      <c r="J1638" s="87">
        <v>4055</v>
      </c>
      <c r="K1638" s="21">
        <v>4180</v>
      </c>
      <c r="L1638" s="21">
        <v>3586</v>
      </c>
      <c r="M1638" s="21">
        <v>4247</v>
      </c>
      <c r="N1638" s="150">
        <f t="shared" si="2675"/>
        <v>47451</v>
      </c>
      <c r="O1638" s="22">
        <f t="shared" si="2676"/>
        <v>3954.25</v>
      </c>
      <c r="P1638" s="103"/>
      <c r="Q1638" s="103"/>
      <c r="R1638" s="103"/>
      <c r="S1638" s="103"/>
      <c r="T1638" s="103"/>
      <c r="U1638" s="103"/>
      <c r="V1638" s="103"/>
      <c r="W1638" s="103"/>
      <c r="X1638" s="103"/>
      <c r="Y1638" s="103"/>
      <c r="Z1638" s="103"/>
    </row>
    <row r="1639" spans="1:26" s="9" customFormat="1" ht="15.75">
      <c r="A1639" s="37" t="s">
        <v>203</v>
      </c>
      <c r="B1639" s="21">
        <v>1631</v>
      </c>
      <c r="C1639" s="21">
        <v>1028</v>
      </c>
      <c r="D1639" s="21">
        <v>996</v>
      </c>
      <c r="E1639" s="21">
        <v>805</v>
      </c>
      <c r="F1639" s="21">
        <v>724</v>
      </c>
      <c r="G1639" s="21">
        <v>917</v>
      </c>
      <c r="H1639" s="21">
        <v>1080</v>
      </c>
      <c r="I1639" s="21">
        <v>1218</v>
      </c>
      <c r="J1639" s="21">
        <v>1193</v>
      </c>
      <c r="K1639" s="21">
        <v>917</v>
      </c>
      <c r="L1639" s="21">
        <v>855</v>
      </c>
      <c r="M1639" s="21">
        <v>1070</v>
      </c>
      <c r="N1639" s="150">
        <f t="shared" si="2675"/>
        <v>12434</v>
      </c>
      <c r="O1639" s="22">
        <f t="shared" si="2676"/>
        <v>1036.1666666666667</v>
      </c>
      <c r="P1639" s="103"/>
      <c r="Q1639" s="103"/>
      <c r="R1639" s="103"/>
      <c r="S1639" s="103"/>
      <c r="T1639" s="103"/>
      <c r="U1639" s="103"/>
      <c r="V1639" s="103"/>
      <c r="W1639" s="103"/>
      <c r="X1639" s="103"/>
      <c r="Y1639" s="103"/>
      <c r="Z1639" s="103"/>
    </row>
    <row r="1640" spans="1:26" s="9" customFormat="1" ht="15.75">
      <c r="A1640" s="37" t="s">
        <v>204</v>
      </c>
      <c r="B1640" s="21">
        <v>3518</v>
      </c>
      <c r="C1640" s="21">
        <v>2674</v>
      </c>
      <c r="D1640" s="21">
        <v>2819</v>
      </c>
      <c r="E1640" s="21">
        <v>2352</v>
      </c>
      <c r="F1640" s="21">
        <v>2011</v>
      </c>
      <c r="G1640" s="21">
        <v>2389</v>
      </c>
      <c r="H1640" s="21">
        <v>2945</v>
      </c>
      <c r="I1640" s="21">
        <v>3389</v>
      </c>
      <c r="J1640" s="21">
        <v>3031</v>
      </c>
      <c r="K1640" s="21">
        <v>2585</v>
      </c>
      <c r="L1640" s="21">
        <v>2812</v>
      </c>
      <c r="M1640" s="21">
        <v>2818</v>
      </c>
      <c r="N1640" s="150">
        <f t="shared" si="2675"/>
        <v>33343</v>
      </c>
      <c r="O1640" s="22">
        <f t="shared" si="2676"/>
        <v>2778.5833333333335</v>
      </c>
      <c r="P1640" s="103"/>
      <c r="Q1640" s="103"/>
      <c r="R1640" s="103"/>
      <c r="S1640" s="103"/>
      <c r="T1640" s="103"/>
      <c r="U1640" s="103"/>
      <c r="V1640" s="103"/>
      <c r="W1640" s="103"/>
      <c r="X1640" s="103"/>
      <c r="Y1640" s="103"/>
      <c r="Z1640" s="103"/>
    </row>
    <row r="1641" spans="1:26" s="9" customFormat="1" ht="15.75">
      <c r="A1641" s="37" t="s">
        <v>205</v>
      </c>
      <c r="B1641" s="21">
        <v>1240</v>
      </c>
      <c r="C1641" s="21">
        <v>1077</v>
      </c>
      <c r="D1641" s="21">
        <v>1057</v>
      </c>
      <c r="E1641" s="21">
        <v>844</v>
      </c>
      <c r="F1641" s="21">
        <v>732</v>
      </c>
      <c r="G1641" s="21">
        <v>926</v>
      </c>
      <c r="H1641" s="21">
        <v>1090</v>
      </c>
      <c r="I1641" s="21">
        <v>1252</v>
      </c>
      <c r="J1641" s="21">
        <v>1193</v>
      </c>
      <c r="K1641" s="21">
        <v>917</v>
      </c>
      <c r="L1641" s="21">
        <v>965</v>
      </c>
      <c r="M1641" s="21">
        <v>954</v>
      </c>
      <c r="N1641" s="150">
        <f t="shared" si="2675"/>
        <v>12247</v>
      </c>
      <c r="O1641" s="22">
        <f t="shared" si="2676"/>
        <v>1020.5833333333334</v>
      </c>
      <c r="P1641" s="103"/>
      <c r="Q1641" s="103"/>
      <c r="R1641" s="103"/>
      <c r="S1641" s="103"/>
      <c r="T1641" s="103"/>
      <c r="U1641" s="103"/>
      <c r="V1641" s="103"/>
      <c r="W1641" s="103"/>
      <c r="X1641" s="103"/>
      <c r="Y1641" s="103"/>
      <c r="Z1641" s="103"/>
    </row>
    <row r="1642" spans="1:26" s="9" customFormat="1" ht="15.75">
      <c r="A1642" s="37" t="s">
        <v>206</v>
      </c>
      <c r="B1642" s="21">
        <v>209</v>
      </c>
      <c r="C1642" s="21">
        <v>161</v>
      </c>
      <c r="D1642" s="21">
        <v>273</v>
      </c>
      <c r="E1642" s="21">
        <v>213</v>
      </c>
      <c r="F1642" s="21">
        <v>110</v>
      </c>
      <c r="G1642" s="21">
        <v>133</v>
      </c>
      <c r="H1642" s="21">
        <v>185</v>
      </c>
      <c r="I1642" s="21">
        <v>201</v>
      </c>
      <c r="J1642" s="21">
        <v>272</v>
      </c>
      <c r="K1642" s="21">
        <v>315</v>
      </c>
      <c r="L1642" s="21">
        <v>266</v>
      </c>
      <c r="M1642" s="21">
        <v>277</v>
      </c>
      <c r="N1642" s="150">
        <f t="shared" si="2675"/>
        <v>2615</v>
      </c>
      <c r="O1642" s="22">
        <f t="shared" si="2676"/>
        <v>217.91666666666666</v>
      </c>
      <c r="P1642" s="103"/>
      <c r="Q1642" s="103"/>
      <c r="R1642" s="103"/>
      <c r="S1642" s="103"/>
      <c r="T1642" s="103"/>
      <c r="U1642" s="103"/>
      <c r="V1642" s="103"/>
      <c r="W1642" s="103"/>
      <c r="X1642" s="103"/>
      <c r="Y1642" s="103"/>
      <c r="Z1642" s="103"/>
    </row>
    <row r="1643" spans="1:26" s="9" customFormat="1" ht="15.75">
      <c r="A1643" s="37" t="s">
        <v>207</v>
      </c>
      <c r="B1643" s="21">
        <v>297</v>
      </c>
      <c r="C1643" s="21">
        <v>383</v>
      </c>
      <c r="D1643" s="21">
        <v>328</v>
      </c>
      <c r="E1643" s="21">
        <v>107</v>
      </c>
      <c r="F1643" s="21">
        <v>137</v>
      </c>
      <c r="G1643" s="87">
        <v>400</v>
      </c>
      <c r="H1643" s="21">
        <v>374</v>
      </c>
      <c r="I1643" s="21">
        <v>301</v>
      </c>
      <c r="J1643" s="21">
        <v>243</v>
      </c>
      <c r="K1643" s="21">
        <v>156</v>
      </c>
      <c r="L1643" s="21">
        <v>260</v>
      </c>
      <c r="M1643" s="21">
        <v>333</v>
      </c>
      <c r="N1643" s="150">
        <f t="shared" si="2675"/>
        <v>3319</v>
      </c>
      <c r="O1643" s="22">
        <f t="shared" si="2676"/>
        <v>276.58333333333331</v>
      </c>
      <c r="P1643" s="103"/>
      <c r="Q1643" s="103"/>
      <c r="R1643" s="103"/>
      <c r="S1643" s="103"/>
      <c r="T1643" s="103"/>
      <c r="U1643" s="103"/>
      <c r="V1643" s="103"/>
      <c r="W1643" s="103"/>
      <c r="X1643" s="103"/>
      <c r="Y1643" s="103"/>
      <c r="Z1643" s="103"/>
    </row>
    <row r="1644" spans="1:26" s="9" customFormat="1" ht="15.75">
      <c r="A1644" s="37" t="s">
        <v>208</v>
      </c>
      <c r="B1644" s="21">
        <v>0</v>
      </c>
      <c r="C1644" s="21">
        <v>0</v>
      </c>
      <c r="D1644" s="21">
        <v>0</v>
      </c>
      <c r="E1644" s="21">
        <v>0</v>
      </c>
      <c r="F1644" s="21">
        <v>0</v>
      </c>
      <c r="G1644" s="21">
        <v>0</v>
      </c>
      <c r="H1644" s="21">
        <v>0</v>
      </c>
      <c r="I1644" s="21">
        <v>0</v>
      </c>
      <c r="J1644" s="21">
        <v>0</v>
      </c>
      <c r="K1644" s="21">
        <v>0</v>
      </c>
      <c r="L1644" s="21">
        <v>0</v>
      </c>
      <c r="M1644" s="21">
        <v>0</v>
      </c>
      <c r="N1644" s="150">
        <f t="shared" si="2675"/>
        <v>0</v>
      </c>
      <c r="O1644" s="22">
        <f t="shared" si="2676"/>
        <v>0</v>
      </c>
      <c r="P1644" s="103"/>
      <c r="Q1644" s="103"/>
      <c r="R1644" s="103"/>
      <c r="S1644" s="103"/>
      <c r="T1644" s="103"/>
      <c r="U1644" s="103"/>
      <c r="V1644" s="103"/>
      <c r="W1644" s="103"/>
      <c r="X1644" s="103"/>
      <c r="Y1644" s="103"/>
      <c r="Z1644" s="103"/>
    </row>
    <row r="1645" spans="1:26" s="9" customFormat="1" ht="15.75">
      <c r="A1645" s="62" t="s">
        <v>21</v>
      </c>
      <c r="B1645" s="24">
        <f t="shared" ref="B1645:G1645" si="2677">SUM(B1636:B1644)</f>
        <v>14788</v>
      </c>
      <c r="C1645" s="24">
        <f t="shared" si="2677"/>
        <v>12723</v>
      </c>
      <c r="D1645" s="24">
        <f t="shared" si="2677"/>
        <v>13152</v>
      </c>
      <c r="E1645" s="24">
        <f t="shared" si="2677"/>
        <v>10210</v>
      </c>
      <c r="F1645" s="24">
        <f t="shared" si="2677"/>
        <v>8867</v>
      </c>
      <c r="G1645" s="24">
        <f t="shared" si="2677"/>
        <v>11101</v>
      </c>
      <c r="H1645" s="24">
        <f t="shared" ref="H1645:I1645" si="2678">SUM(H1636:H1644)</f>
        <v>13071</v>
      </c>
      <c r="I1645" s="24">
        <f t="shared" si="2678"/>
        <v>14055</v>
      </c>
      <c r="J1645" s="24">
        <f t="shared" ref="J1645:K1645" si="2679">SUM(J1636:J1644)</f>
        <v>13571</v>
      </c>
      <c r="K1645" s="24">
        <f t="shared" si="2679"/>
        <v>11763</v>
      </c>
      <c r="L1645" s="24">
        <f t="shared" ref="L1645:M1645" si="2680">SUM(L1636:L1644)</f>
        <v>11431</v>
      </c>
      <c r="M1645" s="24">
        <f t="shared" si="2680"/>
        <v>12567</v>
      </c>
      <c r="N1645" s="144">
        <f>SUM(N1636:N1644)</f>
        <v>147299</v>
      </c>
      <c r="O1645" s="25">
        <f>SUM(O1636:O1644)</f>
        <v>12274.916666666668</v>
      </c>
      <c r="P1645" s="103"/>
      <c r="Q1645" s="103"/>
      <c r="R1645" s="103"/>
      <c r="S1645" s="103"/>
      <c r="T1645" s="103"/>
      <c r="U1645" s="103"/>
      <c r="V1645" s="103"/>
      <c r="W1645" s="103"/>
      <c r="X1645" s="103"/>
      <c r="Y1645" s="103"/>
      <c r="Z1645" s="103"/>
    </row>
    <row r="1646" spans="1:26" s="217" customFormat="1" ht="15.75">
      <c r="A1646" s="62" t="s">
        <v>112</v>
      </c>
      <c r="B1646" s="25">
        <f t="shared" ref="B1646:G1646" si="2681">IF(B1645=0,"",B1645/B$1870)</f>
        <v>477.03225806451616</v>
      </c>
      <c r="C1646" s="25">
        <f t="shared" si="2681"/>
        <v>454.39285714285717</v>
      </c>
      <c r="D1646" s="25">
        <f t="shared" si="2681"/>
        <v>424.25806451612902</v>
      </c>
      <c r="E1646" s="25">
        <f t="shared" si="2681"/>
        <v>340.33333333333331</v>
      </c>
      <c r="F1646" s="25">
        <f t="shared" si="2681"/>
        <v>286.03225806451616</v>
      </c>
      <c r="G1646" s="25">
        <f t="shared" si="2681"/>
        <v>370.03333333333336</v>
      </c>
      <c r="H1646" s="25">
        <f t="shared" ref="H1646:I1646" si="2682">IF(H1645=0,"",H1645/H$1870)</f>
        <v>421.64516129032256</v>
      </c>
      <c r="I1646" s="25">
        <f t="shared" si="2682"/>
        <v>453.38709677419354</v>
      </c>
      <c r="J1646" s="25">
        <f t="shared" ref="J1646:K1646" si="2683">IF(J1645=0,"",J1645/J$1870)</f>
        <v>452.36666666666667</v>
      </c>
      <c r="K1646" s="25">
        <f t="shared" si="2683"/>
        <v>379.45161290322579</v>
      </c>
      <c r="L1646" s="25">
        <f t="shared" ref="L1646:M1646" si="2684">IF(L1645=0,"",L1645/L$1870)</f>
        <v>381.03333333333336</v>
      </c>
      <c r="M1646" s="25">
        <f t="shared" si="2684"/>
        <v>405.38709677419354</v>
      </c>
      <c r="N1646" s="144">
        <f>SUM(B1646:M1646)</f>
        <v>4845.3530721966208</v>
      </c>
      <c r="O1646" s="25">
        <f>IF(N1646=0,0,AVERAGE(B1646:M1646))</f>
        <v>403.77942268305173</v>
      </c>
      <c r="P1646" s="254"/>
      <c r="Q1646" s="254"/>
      <c r="R1646" s="254"/>
      <c r="S1646" s="254"/>
      <c r="T1646" s="254"/>
      <c r="U1646" s="254"/>
      <c r="V1646" s="254"/>
      <c r="W1646" s="254"/>
      <c r="X1646" s="254"/>
      <c r="Y1646" s="254"/>
      <c r="Z1646" s="254"/>
    </row>
    <row r="1647" spans="1:26" s="9" customFormat="1">
      <c r="A1647" s="26"/>
      <c r="B1647" s="27"/>
      <c r="C1647" s="27"/>
      <c r="D1647" s="27"/>
      <c r="E1647" s="28"/>
      <c r="F1647" s="28"/>
      <c r="G1647" s="28"/>
      <c r="H1647" s="28"/>
      <c r="I1647" s="28"/>
      <c r="J1647" s="28"/>
      <c r="K1647" s="28"/>
      <c r="L1647" s="28"/>
      <c r="M1647" s="28"/>
      <c r="N1647" s="151"/>
      <c r="O1647" s="16"/>
      <c r="P1647" s="103"/>
      <c r="Q1647" s="103"/>
      <c r="R1647" s="103"/>
      <c r="S1647" s="103"/>
      <c r="T1647" s="103"/>
      <c r="U1647" s="103"/>
      <c r="V1647" s="103"/>
      <c r="W1647" s="103"/>
      <c r="X1647" s="103"/>
      <c r="Y1647" s="103"/>
      <c r="Z1647" s="103"/>
    </row>
    <row r="1648" spans="1:26" s="9" customFormat="1" ht="15.75">
      <c r="A1648" s="66" t="s">
        <v>209</v>
      </c>
      <c r="B1648" s="81"/>
      <c r="C1648" s="81"/>
      <c r="D1648" s="81"/>
      <c r="E1648" s="81"/>
      <c r="F1648" s="81"/>
      <c r="G1648" s="81"/>
      <c r="H1648" s="81"/>
      <c r="I1648" s="81"/>
      <c r="J1648" s="81"/>
      <c r="K1648" s="81"/>
      <c r="L1648" s="81"/>
      <c r="M1648" s="81"/>
      <c r="N1648" s="165"/>
      <c r="O1648" s="82"/>
      <c r="P1648" s="103"/>
      <c r="Q1648" s="103"/>
      <c r="R1648" s="103"/>
      <c r="S1648" s="103"/>
      <c r="T1648" s="103"/>
      <c r="U1648" s="103"/>
      <c r="V1648" s="103"/>
      <c r="W1648" s="103"/>
      <c r="X1648" s="103"/>
      <c r="Y1648" s="103"/>
      <c r="Z1648" s="103"/>
    </row>
    <row r="1649" spans="1:26" s="9" customFormat="1" ht="15.75">
      <c r="A1649" s="239" t="s">
        <v>715</v>
      </c>
      <c r="B1649" s="87">
        <v>2442</v>
      </c>
      <c r="C1649" s="87">
        <v>2471</v>
      </c>
      <c r="D1649" s="87">
        <v>2822</v>
      </c>
      <c r="E1649" s="87">
        <v>2578</v>
      </c>
      <c r="F1649" s="87">
        <v>2039</v>
      </c>
      <c r="G1649" s="87">
        <v>2134</v>
      </c>
      <c r="H1649" s="87">
        <v>2445</v>
      </c>
      <c r="I1649" s="87">
        <v>2285</v>
      </c>
      <c r="J1649" s="87">
        <v>2574</v>
      </c>
      <c r="K1649" s="87">
        <v>3024</v>
      </c>
      <c r="L1649" s="87">
        <v>2578</v>
      </c>
      <c r="M1649" s="87">
        <v>2904</v>
      </c>
      <c r="N1649" s="240">
        <f t="shared" ref="N1649:N1654" si="2685">SUM(B1649:M1649)</f>
        <v>30296</v>
      </c>
      <c r="O1649" s="241">
        <f t="shared" ref="O1649:O1654" si="2686">IF(N1649=0,0,AVERAGE(B1649:M1649))</f>
        <v>2524.6666666666665</v>
      </c>
      <c r="P1649" s="103"/>
      <c r="Q1649" s="103"/>
      <c r="R1649" s="103"/>
      <c r="S1649" s="103"/>
      <c r="T1649" s="103"/>
      <c r="U1649" s="103"/>
      <c r="V1649" s="103"/>
      <c r="W1649" s="103"/>
      <c r="X1649" s="103"/>
      <c r="Y1649" s="103"/>
      <c r="Z1649" s="103"/>
    </row>
    <row r="1650" spans="1:26" s="9" customFormat="1" ht="15.75">
      <c r="A1650" s="37" t="s">
        <v>210</v>
      </c>
      <c r="B1650" s="21">
        <v>3385</v>
      </c>
      <c r="C1650" s="21">
        <v>2935</v>
      </c>
      <c r="D1650" s="21">
        <v>3059</v>
      </c>
      <c r="E1650" s="21">
        <v>2325</v>
      </c>
      <c r="F1650" s="21">
        <v>1913</v>
      </c>
      <c r="G1650" s="21">
        <v>2578</v>
      </c>
      <c r="H1650" s="21">
        <v>3181</v>
      </c>
      <c r="I1650" s="21">
        <v>3282</v>
      </c>
      <c r="J1650" s="21">
        <v>3259</v>
      </c>
      <c r="K1650" s="87">
        <v>2768</v>
      </c>
      <c r="L1650" s="21">
        <v>2690</v>
      </c>
      <c r="M1650" s="21">
        <v>2971</v>
      </c>
      <c r="N1650" s="150">
        <f t="shared" si="2685"/>
        <v>34346</v>
      </c>
      <c r="O1650" s="22">
        <f t="shared" si="2686"/>
        <v>2862.1666666666665</v>
      </c>
      <c r="P1650" s="103"/>
      <c r="Q1650" s="103"/>
      <c r="R1650" s="103"/>
      <c r="S1650" s="103"/>
      <c r="T1650" s="103"/>
      <c r="U1650" s="103"/>
      <c r="V1650" s="103"/>
      <c r="W1650" s="103"/>
      <c r="X1650" s="103"/>
      <c r="Y1650" s="103"/>
      <c r="Z1650" s="103"/>
    </row>
    <row r="1651" spans="1:26" s="9" customFormat="1" ht="15.75">
      <c r="A1651" s="37" t="s">
        <v>714</v>
      </c>
      <c r="B1651" s="21">
        <v>214</v>
      </c>
      <c r="C1651" s="21">
        <v>372</v>
      </c>
      <c r="D1651" s="21">
        <v>406</v>
      </c>
      <c r="E1651" s="21">
        <v>330</v>
      </c>
      <c r="F1651" s="21">
        <v>262</v>
      </c>
      <c r="G1651" s="21">
        <v>221</v>
      </c>
      <c r="H1651" s="21">
        <v>287</v>
      </c>
      <c r="I1651" s="21">
        <v>452</v>
      </c>
      <c r="J1651" s="21">
        <v>230</v>
      </c>
      <c r="K1651" s="21">
        <v>266</v>
      </c>
      <c r="L1651" s="21">
        <v>223</v>
      </c>
      <c r="M1651" s="21">
        <v>495</v>
      </c>
      <c r="N1651" s="150">
        <f t="shared" si="2685"/>
        <v>3758</v>
      </c>
      <c r="O1651" s="22">
        <f t="shared" si="2686"/>
        <v>313.16666666666669</v>
      </c>
      <c r="P1651" s="103"/>
      <c r="Q1651" s="103"/>
      <c r="R1651" s="103"/>
      <c r="S1651" s="103"/>
      <c r="T1651" s="103"/>
      <c r="U1651" s="103"/>
      <c r="V1651" s="103"/>
      <c r="W1651" s="103"/>
      <c r="X1651" s="103"/>
      <c r="Y1651" s="103"/>
      <c r="Z1651" s="103"/>
    </row>
    <row r="1652" spans="1:26" s="9" customFormat="1" ht="15.75">
      <c r="A1652" s="40" t="s">
        <v>18</v>
      </c>
      <c r="B1652" s="21">
        <v>1477</v>
      </c>
      <c r="C1652" s="21">
        <v>1391</v>
      </c>
      <c r="D1652" s="21">
        <v>1104</v>
      </c>
      <c r="E1652" s="21">
        <v>562</v>
      </c>
      <c r="F1652" s="21">
        <v>885</v>
      </c>
      <c r="G1652" s="21">
        <v>1860</v>
      </c>
      <c r="H1652" s="21">
        <v>1812</v>
      </c>
      <c r="I1652" s="21">
        <v>2292</v>
      </c>
      <c r="J1652" s="21">
        <v>1888</v>
      </c>
      <c r="K1652" s="21">
        <v>1646</v>
      </c>
      <c r="L1652" s="21">
        <v>1899</v>
      </c>
      <c r="M1652" s="21">
        <v>1701</v>
      </c>
      <c r="N1652" s="150">
        <f t="shared" si="2685"/>
        <v>18517</v>
      </c>
      <c r="O1652" s="22">
        <f t="shared" si="2686"/>
        <v>1543.0833333333333</v>
      </c>
      <c r="P1652" s="103"/>
      <c r="Q1652" s="103"/>
      <c r="R1652" s="103"/>
      <c r="S1652" s="103"/>
      <c r="T1652" s="103"/>
      <c r="U1652" s="103"/>
      <c r="V1652" s="103"/>
      <c r="W1652" s="103"/>
      <c r="X1652" s="103"/>
      <c r="Y1652" s="103"/>
      <c r="Z1652" s="103"/>
    </row>
    <row r="1653" spans="1:26" s="9" customFormat="1" ht="15.75">
      <c r="A1653" s="40" t="s">
        <v>19</v>
      </c>
      <c r="B1653" s="21">
        <v>6080</v>
      </c>
      <c r="C1653" s="21">
        <v>5286</v>
      </c>
      <c r="D1653" s="21">
        <v>5470</v>
      </c>
      <c r="E1653" s="21">
        <v>4331</v>
      </c>
      <c r="F1653" s="21">
        <v>3614</v>
      </c>
      <c r="G1653" s="21">
        <v>4070</v>
      </c>
      <c r="H1653" s="21">
        <v>5131</v>
      </c>
      <c r="I1653" s="21">
        <v>5449</v>
      </c>
      <c r="J1653" s="21">
        <v>5073</v>
      </c>
      <c r="K1653" s="21">
        <v>3879</v>
      </c>
      <c r="L1653" s="21">
        <v>3856</v>
      </c>
      <c r="M1653" s="21">
        <v>4295</v>
      </c>
      <c r="N1653" s="150">
        <f t="shared" si="2685"/>
        <v>56534</v>
      </c>
      <c r="O1653" s="22">
        <f t="shared" si="2686"/>
        <v>4711.166666666667</v>
      </c>
      <c r="P1653" s="103"/>
      <c r="Q1653" s="103"/>
      <c r="R1653" s="103"/>
      <c r="S1653" s="103"/>
      <c r="T1653" s="103"/>
      <c r="U1653" s="103"/>
      <c r="V1653" s="103"/>
      <c r="W1653" s="103"/>
      <c r="X1653" s="103"/>
      <c r="Y1653" s="103"/>
      <c r="Z1653" s="103"/>
    </row>
    <row r="1654" spans="1:26" customFormat="1" ht="15.75">
      <c r="A1654" s="37" t="s">
        <v>20</v>
      </c>
      <c r="B1654" s="21">
        <v>1190</v>
      </c>
      <c r="C1654" s="21">
        <v>268</v>
      </c>
      <c r="D1654" s="21">
        <v>291</v>
      </c>
      <c r="E1654" s="21">
        <v>77</v>
      </c>
      <c r="F1654" s="21">
        <v>154</v>
      </c>
      <c r="G1654" s="21">
        <v>238</v>
      </c>
      <c r="H1654" s="21">
        <v>215</v>
      </c>
      <c r="I1654" s="21">
        <v>295</v>
      </c>
      <c r="J1654" s="21">
        <v>547</v>
      </c>
      <c r="K1654" s="21">
        <v>180</v>
      </c>
      <c r="L1654" s="21">
        <v>185</v>
      </c>
      <c r="M1654" s="21">
        <v>201</v>
      </c>
      <c r="N1654" s="150">
        <f t="shared" si="2685"/>
        <v>3841</v>
      </c>
      <c r="O1654" s="22">
        <f t="shared" si="2686"/>
        <v>320.08333333333331</v>
      </c>
    </row>
    <row r="1655" spans="1:26" customFormat="1" ht="15.75">
      <c r="A1655" s="80" t="s">
        <v>21</v>
      </c>
      <c r="B1655" s="24">
        <f t="shared" ref="B1655:G1655" si="2687">SUM(B1649:B1654)</f>
        <v>14788</v>
      </c>
      <c r="C1655" s="24">
        <f t="shared" si="2687"/>
        <v>12723</v>
      </c>
      <c r="D1655" s="24">
        <f t="shared" si="2687"/>
        <v>13152</v>
      </c>
      <c r="E1655" s="24">
        <f t="shared" si="2687"/>
        <v>10203</v>
      </c>
      <c r="F1655" s="24">
        <f t="shared" si="2687"/>
        <v>8867</v>
      </c>
      <c r="G1655" s="24">
        <f t="shared" si="2687"/>
        <v>11101</v>
      </c>
      <c r="H1655" s="24">
        <f t="shared" ref="H1655:I1655" si="2688">SUM(H1649:H1654)</f>
        <v>13071</v>
      </c>
      <c r="I1655" s="24">
        <f t="shared" si="2688"/>
        <v>14055</v>
      </c>
      <c r="J1655" s="24">
        <f t="shared" ref="J1655:K1655" si="2689">SUM(J1649:J1654)</f>
        <v>13571</v>
      </c>
      <c r="K1655" s="24">
        <f t="shared" si="2689"/>
        <v>11763</v>
      </c>
      <c r="L1655" s="24">
        <f t="shared" ref="L1655:M1655" si="2690">SUM(L1649:L1654)</f>
        <v>11431</v>
      </c>
      <c r="M1655" s="24">
        <f t="shared" si="2690"/>
        <v>12567</v>
      </c>
      <c r="N1655" s="144">
        <f>SUM(N1649:N1654)</f>
        <v>147292</v>
      </c>
      <c r="O1655" s="25">
        <f>SUM(O1649:O1654)</f>
        <v>12274.333333333334</v>
      </c>
    </row>
    <row r="1656" spans="1:26" s="217" customFormat="1" ht="15.75">
      <c r="A1656" s="62" t="s">
        <v>112</v>
      </c>
      <c r="B1656" s="25">
        <f t="shared" ref="B1656:G1656" si="2691">IF(B1655=0,"",B1655/B$1870)</f>
        <v>477.03225806451616</v>
      </c>
      <c r="C1656" s="25">
        <f t="shared" si="2691"/>
        <v>454.39285714285717</v>
      </c>
      <c r="D1656" s="25">
        <f t="shared" si="2691"/>
        <v>424.25806451612902</v>
      </c>
      <c r="E1656" s="25">
        <f t="shared" si="2691"/>
        <v>340.1</v>
      </c>
      <c r="F1656" s="25">
        <f t="shared" si="2691"/>
        <v>286.03225806451616</v>
      </c>
      <c r="G1656" s="25">
        <f t="shared" si="2691"/>
        <v>370.03333333333336</v>
      </c>
      <c r="H1656" s="25">
        <f t="shared" ref="H1656:I1656" si="2692">IF(H1655=0,"",H1655/H$1870)</f>
        <v>421.64516129032256</v>
      </c>
      <c r="I1656" s="25">
        <f t="shared" si="2692"/>
        <v>453.38709677419354</v>
      </c>
      <c r="J1656" s="25">
        <f t="shared" ref="J1656:K1656" si="2693">IF(J1655=0,"",J1655/J$1870)</f>
        <v>452.36666666666667</v>
      </c>
      <c r="K1656" s="25">
        <f t="shared" si="2693"/>
        <v>379.45161290322579</v>
      </c>
      <c r="L1656" s="25">
        <f t="shared" ref="L1656:M1656" si="2694">IF(L1655=0,"",L1655/L$1870)</f>
        <v>381.03333333333336</v>
      </c>
      <c r="M1656" s="25">
        <f t="shared" si="2694"/>
        <v>405.38709677419354</v>
      </c>
      <c r="N1656" s="144">
        <f>SUM(B1656:M1656)</f>
        <v>4845.1197388632872</v>
      </c>
      <c r="O1656" s="25">
        <f>IF(N1656=0,0,AVERAGE(B1656:M1656))</f>
        <v>403.75997823860729</v>
      </c>
      <c r="P1656" s="254"/>
      <c r="Q1656" s="254"/>
      <c r="R1656" s="254"/>
      <c r="S1656" s="254"/>
      <c r="T1656" s="254"/>
      <c r="U1656" s="254"/>
      <c r="V1656" s="254"/>
      <c r="W1656" s="254"/>
      <c r="X1656" s="254"/>
      <c r="Y1656" s="254"/>
      <c r="Z1656" s="254"/>
    </row>
    <row r="1657" spans="1:26" customFormat="1" ht="14.25">
      <c r="M1657" s="4"/>
    </row>
    <row r="1658" spans="1:26" customFormat="1" ht="15.75">
      <c r="A1658" s="66" t="s">
        <v>817</v>
      </c>
      <c r="B1658" s="81"/>
      <c r="C1658" s="81"/>
      <c r="D1658" s="81"/>
      <c r="E1658" s="81"/>
      <c r="F1658" s="81"/>
      <c r="G1658" s="81"/>
      <c r="H1658" s="81"/>
      <c r="I1658" s="81"/>
      <c r="J1658" s="81"/>
      <c r="K1658" s="81"/>
      <c r="L1658" s="81"/>
      <c r="M1658" s="81"/>
      <c r="N1658" s="165"/>
      <c r="O1658" s="82"/>
    </row>
    <row r="1659" spans="1:26" customFormat="1" ht="15.75">
      <c r="A1659" s="239" t="s">
        <v>331</v>
      </c>
      <c r="B1659" s="87">
        <v>38</v>
      </c>
      <c r="C1659" s="87">
        <v>59</v>
      </c>
      <c r="D1659" s="87">
        <v>45</v>
      </c>
      <c r="E1659" s="87">
        <v>1</v>
      </c>
      <c r="F1659" s="87">
        <v>43</v>
      </c>
      <c r="G1659" s="87">
        <v>116</v>
      </c>
      <c r="H1659" s="87">
        <v>186</v>
      </c>
      <c r="I1659" s="87">
        <v>182</v>
      </c>
      <c r="J1659" s="87">
        <v>135</v>
      </c>
      <c r="K1659" s="87">
        <v>171</v>
      </c>
      <c r="L1659" s="87">
        <v>171</v>
      </c>
      <c r="M1659" s="87">
        <v>176</v>
      </c>
      <c r="N1659" s="240">
        <f t="shared" ref="N1659" si="2695">SUM(B1659:M1659)</f>
        <v>1323</v>
      </c>
      <c r="O1659" s="241">
        <f t="shared" ref="O1659" si="2696">IF(N1659=0,0,AVERAGE(B1659:M1659))</f>
        <v>110.25</v>
      </c>
    </row>
    <row r="1660" spans="1:26" customFormat="1" ht="15.75">
      <c r="A1660" s="80" t="s">
        <v>21</v>
      </c>
      <c r="B1660" s="24">
        <f t="shared" ref="B1660:G1660" si="2697">SUM(B1659)</f>
        <v>38</v>
      </c>
      <c r="C1660" s="24">
        <f t="shared" si="2697"/>
        <v>59</v>
      </c>
      <c r="D1660" s="24">
        <f t="shared" si="2697"/>
        <v>45</v>
      </c>
      <c r="E1660" s="24">
        <f t="shared" si="2697"/>
        <v>1</v>
      </c>
      <c r="F1660" s="24">
        <f t="shared" si="2697"/>
        <v>43</v>
      </c>
      <c r="G1660" s="24">
        <f t="shared" si="2697"/>
        <v>116</v>
      </c>
      <c r="H1660" s="24">
        <f t="shared" ref="H1660:I1660" si="2698">SUM(H1659)</f>
        <v>186</v>
      </c>
      <c r="I1660" s="24">
        <f t="shared" si="2698"/>
        <v>182</v>
      </c>
      <c r="J1660" s="24">
        <f t="shared" ref="J1660:K1660" si="2699">SUM(J1659)</f>
        <v>135</v>
      </c>
      <c r="K1660" s="24">
        <f t="shared" si="2699"/>
        <v>171</v>
      </c>
      <c r="L1660" s="24">
        <f t="shared" ref="L1660:M1660" si="2700">SUM(L1659)</f>
        <v>171</v>
      </c>
      <c r="M1660" s="24">
        <f t="shared" si="2700"/>
        <v>176</v>
      </c>
      <c r="N1660" s="144">
        <f>SUM(N1659)</f>
        <v>1323</v>
      </c>
      <c r="O1660" s="25">
        <f>SUM(O1659)</f>
        <v>110.25</v>
      </c>
    </row>
    <row r="1661" spans="1:26" s="9" customFormat="1" ht="15.75">
      <c r="A1661" s="62" t="s">
        <v>112</v>
      </c>
      <c r="B1661" s="25">
        <f t="shared" ref="B1661:G1661" si="2701">IF(B1660=0,"",B1660/B$1870)</f>
        <v>1.2258064516129032</v>
      </c>
      <c r="C1661" s="25">
        <f t="shared" si="2701"/>
        <v>2.1071428571428572</v>
      </c>
      <c r="D1661" s="25">
        <f t="shared" si="2701"/>
        <v>1.4516129032258065</v>
      </c>
      <c r="E1661" s="25">
        <f t="shared" si="2701"/>
        <v>3.3333333333333333E-2</v>
      </c>
      <c r="F1661" s="25">
        <f t="shared" si="2701"/>
        <v>1.3870967741935485</v>
      </c>
      <c r="G1661" s="25">
        <f t="shared" si="2701"/>
        <v>3.8666666666666667</v>
      </c>
      <c r="H1661" s="25">
        <f t="shared" ref="H1661:I1661" si="2702">IF(H1660=0,"",H1660/H$1870)</f>
        <v>6</v>
      </c>
      <c r="I1661" s="25">
        <f t="shared" si="2702"/>
        <v>5.870967741935484</v>
      </c>
      <c r="J1661" s="25">
        <f t="shared" ref="J1661:K1661" si="2703">IF(J1660=0,"",J1660/J$1870)</f>
        <v>4.5</v>
      </c>
      <c r="K1661" s="25">
        <f t="shared" si="2703"/>
        <v>5.5161290322580649</v>
      </c>
      <c r="L1661" s="25">
        <f t="shared" ref="L1661:M1661" si="2704">IF(L1660=0,"",L1660/L$1870)</f>
        <v>5.7</v>
      </c>
      <c r="M1661" s="25">
        <f t="shared" si="2704"/>
        <v>5.67741935483871</v>
      </c>
      <c r="N1661" s="144">
        <f>SUM(B1661:M1661)</f>
        <v>43.336175115207375</v>
      </c>
      <c r="O1661" s="25">
        <f>IF(N1661=0,0,AVERAGE(B1661:M1661))</f>
        <v>3.6113479262672814</v>
      </c>
      <c r="P1661" s="103"/>
      <c r="Q1661" s="103"/>
      <c r="R1661" s="103"/>
      <c r="S1661" s="103"/>
      <c r="T1661" s="103"/>
      <c r="U1661" s="103"/>
      <c r="V1661" s="103"/>
      <c r="W1661" s="103"/>
      <c r="X1661" s="103"/>
      <c r="Y1661" s="103"/>
      <c r="Z1661" s="103"/>
    </row>
    <row r="1662" spans="1:26" s="9" customFormat="1">
      <c r="A1662" s="86"/>
      <c r="B1662" s="110"/>
      <c r="C1662" s="110"/>
      <c r="D1662" s="110"/>
      <c r="E1662" s="110"/>
      <c r="F1662" s="110"/>
      <c r="G1662" s="110"/>
      <c r="H1662" s="110"/>
      <c r="I1662" s="110"/>
      <c r="J1662" s="110"/>
      <c r="K1662" s="110"/>
      <c r="L1662" s="110"/>
      <c r="M1662" s="110"/>
      <c r="N1662" s="170"/>
      <c r="O1662" s="111"/>
      <c r="P1662" s="103"/>
      <c r="Q1662" s="103"/>
      <c r="R1662" s="103"/>
      <c r="S1662" s="103"/>
      <c r="T1662" s="103"/>
      <c r="U1662" s="103"/>
      <c r="V1662" s="103"/>
      <c r="W1662" s="103"/>
      <c r="X1662" s="103"/>
      <c r="Y1662" s="103"/>
      <c r="Z1662" s="103"/>
    </row>
    <row r="1663" spans="1:26" s="9" customFormat="1" ht="15.75">
      <c r="A1663" s="66" t="s">
        <v>818</v>
      </c>
      <c r="B1663" s="81"/>
      <c r="C1663" s="81"/>
      <c r="D1663" s="81"/>
      <c r="E1663" s="81"/>
      <c r="F1663" s="81"/>
      <c r="G1663" s="81"/>
      <c r="H1663" s="81"/>
      <c r="I1663" s="81"/>
      <c r="J1663" s="81"/>
      <c r="K1663" s="81"/>
      <c r="L1663" s="81"/>
      <c r="M1663" s="81"/>
      <c r="N1663" s="165"/>
      <c r="O1663" s="82"/>
      <c r="P1663" s="103"/>
      <c r="Q1663" s="103"/>
      <c r="R1663" s="103"/>
      <c r="S1663" s="103"/>
      <c r="T1663" s="103"/>
      <c r="U1663" s="103"/>
      <c r="V1663" s="103"/>
      <c r="W1663" s="103"/>
      <c r="X1663" s="103"/>
      <c r="Y1663" s="103"/>
      <c r="Z1663" s="103"/>
    </row>
    <row r="1664" spans="1:26" s="9" customFormat="1" ht="15.75">
      <c r="A1664" s="40" t="s">
        <v>18</v>
      </c>
      <c r="B1664" s="21">
        <v>18</v>
      </c>
      <c r="C1664" s="21">
        <v>10</v>
      </c>
      <c r="D1664" s="21">
        <v>33</v>
      </c>
      <c r="E1664" s="21">
        <v>1</v>
      </c>
      <c r="F1664" s="21">
        <v>1</v>
      </c>
      <c r="G1664" s="21">
        <v>86</v>
      </c>
      <c r="H1664" s="21">
        <v>137</v>
      </c>
      <c r="I1664" s="21">
        <v>143</v>
      </c>
      <c r="J1664" s="21">
        <v>87</v>
      </c>
      <c r="K1664" s="87">
        <v>92</v>
      </c>
      <c r="L1664" s="21">
        <v>49</v>
      </c>
      <c r="M1664" s="21">
        <v>128</v>
      </c>
      <c r="N1664" s="150">
        <f>SUM(B1664:M1664)</f>
        <v>785</v>
      </c>
      <c r="O1664" s="22">
        <f>IF(N1664=0,0,AVERAGE(B1664:M1664))</f>
        <v>65.416666666666671</v>
      </c>
      <c r="P1664" s="103"/>
      <c r="Q1664" s="103"/>
      <c r="R1664" s="103"/>
      <c r="S1664" s="103"/>
      <c r="T1664" s="103"/>
      <c r="U1664" s="103"/>
      <c r="V1664" s="103"/>
      <c r="W1664" s="103"/>
      <c r="X1664" s="103"/>
      <c r="Y1664" s="103"/>
      <c r="Z1664" s="103"/>
    </row>
    <row r="1665" spans="1:26" s="9" customFormat="1" ht="15.75">
      <c r="A1665" s="40" t="s">
        <v>19</v>
      </c>
      <c r="B1665" s="21">
        <v>0</v>
      </c>
      <c r="C1665" s="21">
        <v>21</v>
      </c>
      <c r="D1665" s="21">
        <v>9</v>
      </c>
      <c r="E1665" s="21">
        <v>0</v>
      </c>
      <c r="F1665" s="21">
        <v>14</v>
      </c>
      <c r="G1665" s="21">
        <v>25</v>
      </c>
      <c r="H1665" s="21">
        <v>24</v>
      </c>
      <c r="I1665" s="21">
        <v>4</v>
      </c>
      <c r="J1665" s="21">
        <v>26</v>
      </c>
      <c r="K1665" s="87">
        <v>51</v>
      </c>
      <c r="L1665" s="21">
        <v>10</v>
      </c>
      <c r="M1665" s="21">
        <v>8</v>
      </c>
      <c r="N1665" s="150">
        <f>SUM(B1665:M1665)</f>
        <v>192</v>
      </c>
      <c r="O1665" s="22">
        <f>IF(N1665=0,0,AVERAGE(B1665:M1665))</f>
        <v>16</v>
      </c>
      <c r="P1665" s="103"/>
      <c r="Q1665" s="103"/>
      <c r="R1665" s="103"/>
      <c r="S1665" s="103"/>
      <c r="T1665" s="103"/>
      <c r="U1665" s="103"/>
      <c r="V1665" s="103"/>
      <c r="W1665" s="103"/>
      <c r="X1665" s="103"/>
      <c r="Y1665" s="103"/>
      <c r="Z1665" s="103"/>
    </row>
    <row r="1666" spans="1:26" s="9" customFormat="1" ht="15.75">
      <c r="A1666" s="37" t="s">
        <v>20</v>
      </c>
      <c r="B1666" s="21">
        <v>19</v>
      </c>
      <c r="C1666" s="21">
        <v>28</v>
      </c>
      <c r="D1666" s="21">
        <v>3</v>
      </c>
      <c r="E1666" s="21">
        <v>0</v>
      </c>
      <c r="F1666" s="21">
        <v>28</v>
      </c>
      <c r="G1666" s="21">
        <v>5</v>
      </c>
      <c r="H1666" s="21">
        <v>25</v>
      </c>
      <c r="I1666" s="21">
        <v>34</v>
      </c>
      <c r="J1666" s="21">
        <v>21</v>
      </c>
      <c r="K1666" s="21">
        <v>28</v>
      </c>
      <c r="L1666" s="21">
        <v>2</v>
      </c>
      <c r="M1666" s="21">
        <v>38</v>
      </c>
      <c r="N1666" s="150">
        <f>SUM(B1666:M1666)</f>
        <v>231</v>
      </c>
      <c r="O1666" s="22">
        <f>IF(N1666=0,0,AVERAGE(B1666:M1666))</f>
        <v>19.25</v>
      </c>
      <c r="P1666" s="103"/>
      <c r="Q1666" s="103"/>
      <c r="R1666" s="103"/>
      <c r="S1666" s="103"/>
      <c r="T1666" s="103"/>
      <c r="U1666" s="103"/>
      <c r="V1666" s="103"/>
      <c r="W1666" s="103"/>
      <c r="X1666" s="103"/>
      <c r="Y1666" s="103"/>
      <c r="Z1666" s="103"/>
    </row>
    <row r="1667" spans="1:26" s="9" customFormat="1" ht="15.75">
      <c r="A1667" s="80" t="s">
        <v>21</v>
      </c>
      <c r="B1667" s="24">
        <f t="shared" ref="B1667:G1667" si="2705">SUM(B1664:B1666)</f>
        <v>37</v>
      </c>
      <c r="C1667" s="24">
        <f t="shared" si="2705"/>
        <v>59</v>
      </c>
      <c r="D1667" s="24">
        <f t="shared" si="2705"/>
        <v>45</v>
      </c>
      <c r="E1667" s="24">
        <f t="shared" si="2705"/>
        <v>1</v>
      </c>
      <c r="F1667" s="24">
        <f t="shared" si="2705"/>
        <v>43</v>
      </c>
      <c r="G1667" s="24">
        <f t="shared" si="2705"/>
        <v>116</v>
      </c>
      <c r="H1667" s="24">
        <f t="shared" ref="H1667:I1667" si="2706">SUM(H1664:H1666)</f>
        <v>186</v>
      </c>
      <c r="I1667" s="24">
        <f t="shared" si="2706"/>
        <v>181</v>
      </c>
      <c r="J1667" s="24">
        <f t="shared" ref="J1667:K1667" si="2707">SUM(J1664:J1666)</f>
        <v>134</v>
      </c>
      <c r="K1667" s="24">
        <f t="shared" si="2707"/>
        <v>171</v>
      </c>
      <c r="L1667" s="24">
        <f t="shared" ref="L1667:M1667" si="2708">SUM(L1664:L1666)</f>
        <v>61</v>
      </c>
      <c r="M1667" s="24">
        <f t="shared" si="2708"/>
        <v>174</v>
      </c>
      <c r="N1667" s="144">
        <f>SUM(N1662:N1666)</f>
        <v>1208</v>
      </c>
      <c r="O1667" s="25">
        <f>SUM(O1662:O1666)</f>
        <v>100.66666666666667</v>
      </c>
      <c r="P1667" s="103"/>
      <c r="Q1667" s="103"/>
      <c r="R1667" s="103"/>
      <c r="S1667" s="103"/>
      <c r="T1667" s="103"/>
      <c r="U1667" s="103"/>
      <c r="V1667" s="103"/>
      <c r="W1667" s="103"/>
      <c r="X1667" s="103"/>
      <c r="Y1667" s="103"/>
      <c r="Z1667" s="103"/>
    </row>
    <row r="1668" spans="1:26" s="9" customFormat="1" ht="15.75">
      <c r="A1668" s="62" t="s">
        <v>112</v>
      </c>
      <c r="B1668" s="25">
        <f t="shared" ref="B1668:G1668" si="2709">IF(B1667=0,"",B1667/B$1870)</f>
        <v>1.1935483870967742</v>
      </c>
      <c r="C1668" s="25">
        <f t="shared" si="2709"/>
        <v>2.1071428571428572</v>
      </c>
      <c r="D1668" s="25">
        <f t="shared" si="2709"/>
        <v>1.4516129032258065</v>
      </c>
      <c r="E1668" s="25">
        <f t="shared" si="2709"/>
        <v>3.3333333333333333E-2</v>
      </c>
      <c r="F1668" s="25">
        <f t="shared" si="2709"/>
        <v>1.3870967741935485</v>
      </c>
      <c r="G1668" s="25">
        <f t="shared" si="2709"/>
        <v>3.8666666666666667</v>
      </c>
      <c r="H1668" s="25">
        <f t="shared" ref="H1668:I1668" si="2710">IF(H1667=0,"",H1667/H$1870)</f>
        <v>6</v>
      </c>
      <c r="I1668" s="25">
        <f t="shared" si="2710"/>
        <v>5.838709677419355</v>
      </c>
      <c r="J1668" s="25">
        <f t="shared" ref="J1668:K1668" si="2711">IF(J1667=0,"",J1667/J$1870)</f>
        <v>4.4666666666666668</v>
      </c>
      <c r="K1668" s="25">
        <f t="shared" si="2711"/>
        <v>5.5161290322580649</v>
      </c>
      <c r="L1668" s="25">
        <f t="shared" ref="L1668:M1668" si="2712">IF(L1667=0,"",L1667/L$1870)</f>
        <v>2.0333333333333332</v>
      </c>
      <c r="M1668" s="25">
        <f t="shared" si="2712"/>
        <v>5.612903225806452</v>
      </c>
      <c r="N1668" s="144">
        <f>SUM(B1668:M1668)</f>
        <v>39.507142857142853</v>
      </c>
      <c r="O1668" s="25">
        <f>IF(N1668=0,0,AVERAGE(B1668:M1668))</f>
        <v>3.2922619047619044</v>
      </c>
      <c r="P1668" s="103"/>
      <c r="Q1668" s="103"/>
      <c r="R1668" s="103"/>
      <c r="S1668" s="103"/>
      <c r="T1668" s="103"/>
      <c r="U1668" s="103"/>
      <c r="V1668" s="103"/>
      <c r="W1668" s="103"/>
      <c r="X1668" s="103"/>
      <c r="Y1668" s="103"/>
      <c r="Z1668" s="103"/>
    </row>
    <row r="1669" spans="1:26" s="386" customFormat="1" ht="15.75">
      <c r="A1669" s="383"/>
      <c r="B1669" s="139"/>
      <c r="C1669" s="139"/>
      <c r="D1669" s="139"/>
      <c r="E1669" s="139"/>
      <c r="F1669" s="139"/>
      <c r="G1669" s="139"/>
      <c r="H1669" s="139"/>
      <c r="I1669" s="139"/>
      <c r="J1669" s="139"/>
      <c r="K1669" s="139"/>
      <c r="L1669" s="139"/>
      <c r="M1669" s="139"/>
      <c r="N1669" s="177"/>
      <c r="O1669" s="139"/>
      <c r="P1669" s="419"/>
      <c r="Q1669" s="419"/>
      <c r="R1669" s="419"/>
      <c r="S1669" s="419"/>
      <c r="T1669" s="419"/>
      <c r="U1669" s="419"/>
      <c r="V1669" s="419"/>
      <c r="W1669" s="419"/>
      <c r="X1669" s="419"/>
      <c r="Y1669" s="419"/>
      <c r="Z1669" s="419"/>
    </row>
    <row r="1670" spans="1:26" s="386" customFormat="1" ht="31.5">
      <c r="A1670" s="420" t="s">
        <v>826</v>
      </c>
      <c r="B1670" s="372">
        <v>1</v>
      </c>
      <c r="C1670" s="372">
        <v>0</v>
      </c>
      <c r="D1670" s="372">
        <v>1</v>
      </c>
      <c r="E1670" s="372">
        <v>0</v>
      </c>
      <c r="F1670" s="372">
        <v>0</v>
      </c>
      <c r="G1670" s="372">
        <v>1</v>
      </c>
      <c r="H1670" s="372">
        <v>0</v>
      </c>
      <c r="I1670" s="372">
        <v>1</v>
      </c>
      <c r="J1670" s="372">
        <v>1</v>
      </c>
      <c r="K1670" s="372">
        <v>0</v>
      </c>
      <c r="L1670" s="372">
        <v>0</v>
      </c>
      <c r="M1670" s="372">
        <v>2</v>
      </c>
      <c r="N1670" s="373">
        <f>SUM(B1670:M1670)</f>
        <v>7</v>
      </c>
      <c r="O1670" s="374">
        <f>IF(N1670=0,0,AVERAGE(B1670:M1670))</f>
        <v>0.58333333333333337</v>
      </c>
      <c r="P1670" s="419"/>
      <c r="Q1670" s="419"/>
      <c r="R1670" s="419"/>
      <c r="S1670" s="419"/>
      <c r="T1670" s="419"/>
      <c r="U1670" s="419"/>
      <c r="V1670" s="419"/>
      <c r="W1670" s="419"/>
      <c r="X1670" s="419"/>
      <c r="Y1670" s="419"/>
      <c r="Z1670" s="419"/>
    </row>
    <row r="1671" spans="1:26" s="9" customFormat="1">
      <c r="A1671"/>
      <c r="B1671"/>
      <c r="C1671"/>
      <c r="D1671"/>
      <c r="E1671"/>
      <c r="F1671"/>
      <c r="G1671"/>
      <c r="H1671"/>
      <c r="I1671"/>
      <c r="J1671"/>
      <c r="K1671"/>
      <c r="L1671"/>
      <c r="M1671"/>
      <c r="N1671"/>
      <c r="O1671"/>
      <c r="P1671" s="103"/>
      <c r="Q1671" s="103"/>
      <c r="R1671" s="103"/>
      <c r="S1671" s="103"/>
      <c r="T1671" s="103"/>
      <c r="U1671" s="103"/>
      <c r="V1671" s="103"/>
      <c r="W1671" s="103"/>
      <c r="X1671" s="103"/>
      <c r="Y1671" s="103"/>
      <c r="Z1671" s="103"/>
    </row>
    <row r="1672" spans="1:26" s="9" customFormat="1" ht="15.75">
      <c r="A1672" s="17" t="s">
        <v>211</v>
      </c>
      <c r="B1672" s="30"/>
      <c r="C1672" s="30"/>
      <c r="D1672" s="30"/>
      <c r="E1672" s="30"/>
      <c r="F1672" s="30"/>
      <c r="G1672" s="30"/>
      <c r="H1672" s="30"/>
      <c r="I1672" s="30"/>
      <c r="J1672" s="30"/>
      <c r="K1672" s="30"/>
      <c r="L1672" s="30"/>
      <c r="M1672" s="30"/>
      <c r="N1672" s="152"/>
      <c r="O1672" s="31"/>
      <c r="P1672" s="103"/>
      <c r="Q1672" s="103"/>
      <c r="R1672" s="103"/>
      <c r="S1672" s="103"/>
      <c r="T1672" s="103"/>
      <c r="U1672" s="103"/>
      <c r="V1672" s="103"/>
      <c r="W1672" s="103"/>
      <c r="X1672" s="103"/>
      <c r="Y1672" s="103"/>
      <c r="Z1672" s="103"/>
    </row>
    <row r="1673" spans="1:26" s="9" customFormat="1" ht="15.75">
      <c r="A1673" s="66" t="s">
        <v>212</v>
      </c>
      <c r="B1673" s="81"/>
      <c r="C1673" s="81"/>
      <c r="D1673" s="81"/>
      <c r="E1673" s="81"/>
      <c r="F1673" s="81"/>
      <c r="G1673" s="81"/>
      <c r="H1673" s="81"/>
      <c r="I1673" s="81"/>
      <c r="J1673" s="81"/>
      <c r="K1673" s="81"/>
      <c r="L1673" s="81"/>
      <c r="M1673" s="81"/>
      <c r="N1673" s="165"/>
      <c r="O1673" s="82"/>
      <c r="P1673" s="103"/>
      <c r="Q1673" s="103"/>
      <c r="R1673" s="103"/>
      <c r="S1673" s="103"/>
      <c r="T1673" s="103"/>
      <c r="U1673" s="103"/>
      <c r="V1673" s="103"/>
      <c r="W1673" s="103"/>
      <c r="X1673" s="103"/>
      <c r="Y1673" s="103"/>
      <c r="Z1673" s="103"/>
    </row>
    <row r="1674" spans="1:26" s="9" customFormat="1" ht="15.75">
      <c r="A1674" s="37" t="s">
        <v>19</v>
      </c>
      <c r="B1674" s="145">
        <v>1033.7850000000001</v>
      </c>
      <c r="C1674" s="145">
        <v>1029.5999999999999</v>
      </c>
      <c r="D1674" s="145">
        <v>1070.0999999999999</v>
      </c>
      <c r="E1674" s="145">
        <v>1414.2</v>
      </c>
      <c r="F1674" s="145">
        <v>1453.3</v>
      </c>
      <c r="G1674" s="145">
        <v>919.82</v>
      </c>
      <c r="H1674" s="303">
        <v>1021.15</v>
      </c>
      <c r="I1674" s="145">
        <v>1272</v>
      </c>
      <c r="J1674" s="467">
        <v>1206.7750000000001</v>
      </c>
      <c r="K1674" s="475">
        <v>1300.17</v>
      </c>
      <c r="L1674" s="303">
        <v>606.05999999999995</v>
      </c>
      <c r="M1674" s="303">
        <v>616.42999999999995</v>
      </c>
      <c r="N1674" s="150">
        <f t="shared" ref="N1674:N1681" si="2713">SUM(B1674:M1674)</f>
        <v>12943.39</v>
      </c>
      <c r="O1674" s="22">
        <f t="shared" ref="O1674:O1681" si="2714">IF(N1674=0,0,AVERAGE(B1674:M1674))</f>
        <v>1078.6158333333333</v>
      </c>
      <c r="P1674" s="103"/>
      <c r="Q1674" s="103"/>
      <c r="R1674" s="103"/>
      <c r="S1674" s="103"/>
      <c r="T1674" s="103"/>
      <c r="U1674" s="103"/>
      <c r="V1674" s="103"/>
      <c r="W1674" s="103"/>
      <c r="X1674" s="103"/>
      <c r="Y1674" s="103"/>
      <c r="Z1674" s="103"/>
    </row>
    <row r="1675" spans="1:26" s="9" customFormat="1" ht="15.75">
      <c r="A1675" s="37" t="s">
        <v>18</v>
      </c>
      <c r="B1675" s="303">
        <v>486.5</v>
      </c>
      <c r="C1675" s="145">
        <v>526.99</v>
      </c>
      <c r="D1675" s="145">
        <v>492.05</v>
      </c>
      <c r="E1675" s="145">
        <v>227</v>
      </c>
      <c r="F1675" s="145">
        <v>239.8</v>
      </c>
      <c r="G1675" s="145">
        <v>378.5</v>
      </c>
      <c r="H1675" s="145">
        <v>434.8</v>
      </c>
      <c r="I1675" s="145">
        <v>625.5</v>
      </c>
      <c r="J1675" s="467">
        <v>571.30499999999995</v>
      </c>
      <c r="K1675" s="475">
        <v>595.21</v>
      </c>
      <c r="L1675" s="303">
        <v>991.65</v>
      </c>
      <c r="M1675" s="303">
        <v>1154.3399999999999</v>
      </c>
      <c r="N1675" s="150">
        <f t="shared" si="2713"/>
        <v>6723.6450000000004</v>
      </c>
      <c r="O1675" s="22">
        <f t="shared" si="2714"/>
        <v>560.30375000000004</v>
      </c>
      <c r="P1675" s="103"/>
      <c r="Q1675" s="103"/>
      <c r="R1675" s="103"/>
      <c r="S1675" s="103"/>
      <c r="T1675" s="103"/>
      <c r="U1675" s="103"/>
      <c r="V1675" s="103"/>
      <c r="W1675" s="103"/>
      <c r="X1675" s="103"/>
      <c r="Y1675" s="103"/>
      <c r="Z1675" s="103"/>
    </row>
    <row r="1676" spans="1:26" s="9" customFormat="1" ht="15.75">
      <c r="A1676" s="37" t="s">
        <v>43</v>
      </c>
      <c r="B1676" s="145">
        <v>2326.085</v>
      </c>
      <c r="C1676" s="145">
        <v>2052.6</v>
      </c>
      <c r="D1676" s="145">
        <v>2178.9</v>
      </c>
      <c r="E1676" s="145">
        <v>1958.3</v>
      </c>
      <c r="F1676" s="145">
        <v>1944.5</v>
      </c>
      <c r="G1676" s="145">
        <v>1927.38</v>
      </c>
      <c r="H1676" s="145">
        <v>2023.55</v>
      </c>
      <c r="I1676" s="145">
        <v>2252.8200000000002</v>
      </c>
      <c r="J1676" s="303">
        <v>2277.8049999999998</v>
      </c>
      <c r="K1676" s="145">
        <v>1839.9</v>
      </c>
      <c r="L1676" s="145">
        <v>1555.99</v>
      </c>
      <c r="M1676" s="303">
        <v>1707.1</v>
      </c>
      <c r="N1676" s="150">
        <f t="shared" si="2713"/>
        <v>24044.93</v>
      </c>
      <c r="O1676" s="22">
        <f t="shared" si="2714"/>
        <v>2003.7441666666666</v>
      </c>
      <c r="P1676" s="103"/>
      <c r="Q1676" s="103"/>
      <c r="R1676" s="103"/>
      <c r="S1676" s="103"/>
      <c r="T1676" s="103"/>
      <c r="U1676" s="103"/>
      <c r="V1676" s="103"/>
      <c r="W1676" s="103"/>
      <c r="X1676" s="103"/>
      <c r="Y1676" s="103"/>
      <c r="Z1676" s="103"/>
    </row>
    <row r="1677" spans="1:26" s="9" customFormat="1" ht="15.75">
      <c r="A1677" s="37" t="s">
        <v>213</v>
      </c>
      <c r="B1677" s="145">
        <v>2162.3000000000002</v>
      </c>
      <c r="C1677" s="303">
        <v>2214.2449999999999</v>
      </c>
      <c r="D1677" s="145">
        <v>1877.58</v>
      </c>
      <c r="E1677" s="145">
        <v>910.63</v>
      </c>
      <c r="F1677" s="145">
        <v>906.84</v>
      </c>
      <c r="G1677" s="145">
        <v>1140.5999999999999</v>
      </c>
      <c r="H1677" s="303">
        <v>1440.15</v>
      </c>
      <c r="I1677" s="145">
        <v>2259.36</v>
      </c>
      <c r="J1677" s="303">
        <v>1968.0550000000001</v>
      </c>
      <c r="K1677" s="145">
        <v>2711.12</v>
      </c>
      <c r="L1677" s="145">
        <v>2518.41</v>
      </c>
      <c r="M1677" s="145">
        <v>2475.5500000000002</v>
      </c>
      <c r="N1677" s="150">
        <f t="shared" si="2713"/>
        <v>22584.84</v>
      </c>
      <c r="O1677" s="22">
        <f t="shared" si="2714"/>
        <v>1882.07</v>
      </c>
      <c r="P1677" s="103"/>
      <c r="Q1677" s="103"/>
      <c r="R1677" s="103"/>
      <c r="S1677" s="103"/>
      <c r="T1677" s="103"/>
      <c r="U1677" s="103"/>
      <c r="V1677" s="103"/>
      <c r="W1677" s="103"/>
      <c r="X1677" s="103"/>
      <c r="Y1677" s="103"/>
      <c r="Z1677" s="103"/>
    </row>
    <row r="1678" spans="1:26" s="9" customFormat="1" ht="15.75">
      <c r="A1678" s="37" t="s">
        <v>214</v>
      </c>
      <c r="B1678" s="303">
        <v>567.9</v>
      </c>
      <c r="C1678" s="303">
        <v>534.03499999999997</v>
      </c>
      <c r="D1678" s="145">
        <v>619.03</v>
      </c>
      <c r="E1678" s="145">
        <v>425.4</v>
      </c>
      <c r="F1678" s="145">
        <v>611.16999999999996</v>
      </c>
      <c r="G1678" s="145">
        <v>527.28</v>
      </c>
      <c r="H1678" s="145">
        <v>507.95</v>
      </c>
      <c r="I1678" s="145">
        <v>523.26</v>
      </c>
      <c r="J1678" s="145">
        <v>569.01</v>
      </c>
      <c r="K1678" s="145">
        <v>501.4</v>
      </c>
      <c r="L1678" s="145">
        <v>381.1</v>
      </c>
      <c r="M1678" s="303">
        <v>399.7</v>
      </c>
      <c r="N1678" s="150">
        <f t="shared" si="2713"/>
        <v>6167.2349999999997</v>
      </c>
      <c r="O1678" s="22">
        <f t="shared" si="2714"/>
        <v>513.93624999999997</v>
      </c>
      <c r="P1678" s="103"/>
      <c r="Q1678" s="103"/>
      <c r="R1678" s="103"/>
      <c r="S1678" s="103"/>
      <c r="T1678" s="103"/>
      <c r="U1678" s="103"/>
      <c r="V1678" s="103"/>
      <c r="W1678" s="103"/>
      <c r="X1678" s="103"/>
      <c r="Y1678" s="103"/>
      <c r="Z1678" s="103"/>
    </row>
    <row r="1679" spans="1:26" s="9" customFormat="1" ht="15.75">
      <c r="A1679" s="37" t="s">
        <v>30</v>
      </c>
      <c r="B1679" s="145">
        <v>318.39999999999998</v>
      </c>
      <c r="C1679" s="145">
        <v>293.10000000000002</v>
      </c>
      <c r="D1679" s="145">
        <v>395.1</v>
      </c>
      <c r="E1679" s="145">
        <v>298.8</v>
      </c>
      <c r="F1679" s="145">
        <v>184.2</v>
      </c>
      <c r="G1679" s="145">
        <v>221.1</v>
      </c>
      <c r="H1679" s="145">
        <v>371.5</v>
      </c>
      <c r="I1679" s="145">
        <v>431.1</v>
      </c>
      <c r="J1679" s="303">
        <v>412.4</v>
      </c>
      <c r="K1679" s="145">
        <v>381.6</v>
      </c>
      <c r="L1679" s="145">
        <v>309.60000000000002</v>
      </c>
      <c r="M1679" s="303">
        <v>262.2</v>
      </c>
      <c r="N1679" s="150">
        <f t="shared" si="2713"/>
        <v>3879.0999999999995</v>
      </c>
      <c r="O1679" s="22">
        <f t="shared" si="2714"/>
        <v>323.25833333333327</v>
      </c>
      <c r="P1679" s="103"/>
      <c r="Q1679" s="103"/>
      <c r="R1679" s="103"/>
      <c r="S1679" s="103"/>
      <c r="T1679" s="103"/>
      <c r="U1679" s="103"/>
      <c r="V1679" s="103"/>
      <c r="W1679" s="103"/>
      <c r="X1679" s="103"/>
      <c r="Y1679" s="103"/>
      <c r="Z1679" s="103"/>
    </row>
    <row r="1680" spans="1:26" s="9" customFormat="1" ht="15.75">
      <c r="A1680" s="37" t="s">
        <v>215</v>
      </c>
      <c r="B1680" s="145">
        <v>495.6</v>
      </c>
      <c r="C1680" s="145">
        <v>470.8</v>
      </c>
      <c r="D1680" s="145">
        <v>495.9</v>
      </c>
      <c r="E1680" s="145">
        <v>486</v>
      </c>
      <c r="F1680" s="145">
        <v>479.9</v>
      </c>
      <c r="G1680" s="145">
        <v>454.5</v>
      </c>
      <c r="H1680" s="145">
        <v>466.5</v>
      </c>
      <c r="I1680" s="145">
        <v>461.7</v>
      </c>
      <c r="J1680" s="145">
        <v>437.5</v>
      </c>
      <c r="K1680" s="145">
        <v>419.3</v>
      </c>
      <c r="L1680" s="145">
        <v>366.3</v>
      </c>
      <c r="M1680" s="303">
        <v>367.4</v>
      </c>
      <c r="N1680" s="150">
        <f t="shared" si="2713"/>
        <v>5401.4</v>
      </c>
      <c r="O1680" s="22">
        <f t="shared" si="2714"/>
        <v>450.11666666666662</v>
      </c>
      <c r="P1680" s="103"/>
      <c r="Q1680" s="103"/>
      <c r="R1680" s="103"/>
      <c r="S1680" s="103"/>
      <c r="T1680" s="103"/>
      <c r="U1680" s="103"/>
      <c r="V1680" s="103"/>
      <c r="W1680" s="103"/>
      <c r="X1680" s="103"/>
      <c r="Y1680" s="103"/>
      <c r="Z1680" s="103"/>
    </row>
    <row r="1681" spans="1:26" s="9" customFormat="1" ht="15.75">
      <c r="A1681" s="37" t="s">
        <v>216</v>
      </c>
      <c r="B1681" s="145">
        <v>166.2</v>
      </c>
      <c r="C1681" s="145">
        <v>156.80000000000001</v>
      </c>
      <c r="D1681" s="145">
        <v>207.4</v>
      </c>
      <c r="E1681" s="145">
        <v>265.2</v>
      </c>
      <c r="F1681" s="145">
        <v>384.9</v>
      </c>
      <c r="G1681" s="145">
        <v>297.2</v>
      </c>
      <c r="H1681" s="145">
        <v>286.7</v>
      </c>
      <c r="I1681" s="145">
        <v>283.3</v>
      </c>
      <c r="J1681" s="145">
        <v>260.2</v>
      </c>
      <c r="K1681" s="145">
        <v>212.3</v>
      </c>
      <c r="L1681" s="145">
        <v>193</v>
      </c>
      <c r="M1681" s="303">
        <v>225.7</v>
      </c>
      <c r="N1681" s="150">
        <f t="shared" si="2713"/>
        <v>2938.9</v>
      </c>
      <c r="O1681" s="22">
        <f t="shared" si="2714"/>
        <v>244.90833333333333</v>
      </c>
      <c r="P1681" s="103"/>
      <c r="Q1681" s="103"/>
      <c r="R1681" s="103"/>
      <c r="S1681" s="103"/>
      <c r="T1681" s="103"/>
      <c r="U1681" s="103"/>
      <c r="V1681" s="103"/>
      <c r="W1681" s="103"/>
      <c r="X1681" s="103"/>
      <c r="Y1681" s="103"/>
      <c r="Z1681" s="103"/>
    </row>
    <row r="1682" spans="1:26" s="9" customFormat="1" ht="15.75">
      <c r="A1682" s="62" t="s">
        <v>21</v>
      </c>
      <c r="B1682" s="25">
        <f t="shared" ref="B1682:C1682" si="2715">SUM(B1674:B1681)</f>
        <v>7556.7699999999995</v>
      </c>
      <c r="C1682" s="25">
        <f t="shared" si="2715"/>
        <v>7278.17</v>
      </c>
      <c r="D1682" s="25">
        <f t="shared" ref="D1682:E1682" si="2716">SUM(D1674:D1681)</f>
        <v>7336.0599999999995</v>
      </c>
      <c r="E1682" s="25">
        <f t="shared" si="2716"/>
        <v>5985.53</v>
      </c>
      <c r="F1682" s="25">
        <f t="shared" ref="F1682:G1682" si="2717">SUM(F1674:F1681)</f>
        <v>6204.6099999999988</v>
      </c>
      <c r="G1682" s="25">
        <f t="shared" si="2717"/>
        <v>5866.38</v>
      </c>
      <c r="H1682" s="25">
        <f t="shared" ref="H1682:I1682" si="2718">SUM(H1674:H1681)</f>
        <v>6552.2999999999993</v>
      </c>
      <c r="I1682" s="25">
        <f t="shared" si="2718"/>
        <v>8109.0400000000009</v>
      </c>
      <c r="J1682" s="25">
        <f t="shared" ref="J1682:K1682" si="2719">SUM(J1674:J1681)</f>
        <v>7703.0499999999993</v>
      </c>
      <c r="K1682" s="25">
        <f t="shared" si="2719"/>
        <v>7961</v>
      </c>
      <c r="L1682" s="25">
        <f t="shared" ref="L1682:M1682" si="2720">SUM(L1674:L1681)</f>
        <v>6922.1100000000006</v>
      </c>
      <c r="M1682" s="25">
        <f t="shared" si="2720"/>
        <v>7208.4199999999992</v>
      </c>
      <c r="N1682" s="144">
        <f>SUM(N1674:N1681)</f>
        <v>84683.439999999988</v>
      </c>
      <c r="O1682" s="25">
        <f>SUM(O1674:O1681)</f>
        <v>7056.9533333333329</v>
      </c>
      <c r="P1682" s="103"/>
      <c r="Q1682" s="103"/>
      <c r="R1682" s="103"/>
      <c r="S1682" s="103"/>
      <c r="T1682" s="103"/>
      <c r="U1682" s="103"/>
      <c r="V1682" s="103"/>
      <c r="W1682" s="103"/>
      <c r="X1682" s="103"/>
      <c r="Y1682" s="103"/>
      <c r="Z1682" s="103"/>
    </row>
    <row r="1683" spans="1:26" s="9" customFormat="1" ht="15.75">
      <c r="A1683" s="62" t="s">
        <v>112</v>
      </c>
      <c r="B1683" s="25">
        <f t="shared" ref="B1683:G1683" si="2721">IF(B1682=0,"",B1682/B$1870)</f>
        <v>243.76677419354837</v>
      </c>
      <c r="C1683" s="25">
        <f t="shared" si="2721"/>
        <v>259.93464285714288</v>
      </c>
      <c r="D1683" s="25">
        <f t="shared" si="2721"/>
        <v>236.64709677419353</v>
      </c>
      <c r="E1683" s="25">
        <f t="shared" si="2721"/>
        <v>199.51766666666666</v>
      </c>
      <c r="F1683" s="25">
        <f t="shared" si="2721"/>
        <v>200.1487096774193</v>
      </c>
      <c r="G1683" s="25">
        <f t="shared" si="2721"/>
        <v>195.54599999999999</v>
      </c>
      <c r="H1683" s="25">
        <f t="shared" ref="H1683:I1683" si="2722">IF(H1682=0,"",H1682/H$1870)</f>
        <v>211.36451612903224</v>
      </c>
      <c r="I1683" s="25">
        <f t="shared" si="2722"/>
        <v>261.58193548387101</v>
      </c>
      <c r="J1683" s="25">
        <f t="shared" ref="J1683:K1683" si="2723">IF(J1682=0,"",J1682/J$1870)</f>
        <v>256.76833333333332</v>
      </c>
      <c r="K1683" s="25">
        <f t="shared" si="2723"/>
        <v>256.80645161290323</v>
      </c>
      <c r="L1683" s="25">
        <f t="shared" ref="L1683:M1683" si="2724">IF(L1682=0,"",L1682/L$1870)</f>
        <v>230.73700000000002</v>
      </c>
      <c r="M1683" s="25">
        <f t="shared" si="2724"/>
        <v>232.52967741935481</v>
      </c>
      <c r="N1683" s="144">
        <f>SUM(B1683:M1683)</f>
        <v>2785.3488041474657</v>
      </c>
      <c r="O1683" s="25">
        <f>IF(N1683=0,0,AVERAGE(B1683:M1683))</f>
        <v>232.11240034562215</v>
      </c>
      <c r="P1683" s="103"/>
      <c r="Q1683" s="103"/>
      <c r="R1683" s="103"/>
      <c r="S1683" s="103"/>
      <c r="T1683" s="103"/>
      <c r="U1683" s="103"/>
      <c r="V1683" s="103"/>
      <c r="W1683" s="103"/>
      <c r="X1683" s="103"/>
      <c r="Y1683" s="103"/>
      <c r="Z1683" s="103"/>
    </row>
    <row r="1684" spans="1:26" s="9" customFormat="1">
      <c r="A1684" s="26"/>
      <c r="B1684" s="27"/>
      <c r="C1684" s="27"/>
      <c r="D1684" s="27"/>
      <c r="E1684" s="27"/>
      <c r="F1684" s="28"/>
      <c r="G1684" s="28"/>
      <c r="H1684" s="28"/>
      <c r="I1684" s="28"/>
      <c r="J1684" s="28"/>
      <c r="K1684" s="28"/>
      <c r="L1684" s="28"/>
      <c r="M1684" s="28"/>
      <c r="N1684" s="151"/>
      <c r="O1684" s="16"/>
      <c r="P1684" s="103"/>
      <c r="Q1684" s="103"/>
      <c r="R1684" s="103"/>
      <c r="S1684" s="103"/>
      <c r="T1684" s="103"/>
      <c r="U1684" s="103"/>
      <c r="V1684" s="103"/>
      <c r="W1684" s="103"/>
      <c r="X1684" s="103"/>
      <c r="Y1684" s="103"/>
      <c r="Z1684" s="103"/>
    </row>
    <row r="1685" spans="1:26" s="9" customFormat="1" ht="15.75">
      <c r="A1685" s="66" t="s">
        <v>716</v>
      </c>
      <c r="B1685" s="81"/>
      <c r="C1685" s="81"/>
      <c r="D1685" s="81"/>
      <c r="E1685" s="81"/>
      <c r="F1685" s="81"/>
      <c r="G1685" s="81"/>
      <c r="H1685" s="81"/>
      <c r="I1685" s="81"/>
      <c r="J1685" s="81"/>
      <c r="K1685" s="81"/>
      <c r="L1685" s="81"/>
      <c r="M1685" s="81"/>
      <c r="N1685" s="165"/>
      <c r="O1685" s="82"/>
      <c r="P1685" s="103"/>
      <c r="Q1685" s="103"/>
      <c r="R1685" s="103"/>
      <c r="S1685" s="103"/>
      <c r="T1685" s="103"/>
      <c r="U1685" s="103"/>
      <c r="V1685" s="103"/>
      <c r="W1685" s="103"/>
      <c r="X1685" s="103"/>
      <c r="Y1685" s="103"/>
      <c r="Z1685" s="103"/>
    </row>
    <row r="1686" spans="1:26" s="9" customFormat="1" ht="15.75">
      <c r="A1686" s="32" t="s">
        <v>217</v>
      </c>
      <c r="B1686" s="22">
        <f t="shared" ref="B1686:C1686" si="2725">B1682</f>
        <v>7556.7699999999995</v>
      </c>
      <c r="C1686" s="22">
        <f t="shared" si="2725"/>
        <v>7278.17</v>
      </c>
      <c r="D1686" s="22">
        <f t="shared" ref="D1686:E1686" si="2726">D1682</f>
        <v>7336.0599999999995</v>
      </c>
      <c r="E1686" s="22">
        <f t="shared" si="2726"/>
        <v>5985.53</v>
      </c>
      <c r="F1686" s="22">
        <f t="shared" ref="F1686:H1686" si="2727">F1682</f>
        <v>6204.6099999999988</v>
      </c>
      <c r="G1686" s="22">
        <f t="shared" si="2727"/>
        <v>5866.38</v>
      </c>
      <c r="H1686" s="22">
        <f t="shared" si="2727"/>
        <v>6552.2999999999993</v>
      </c>
      <c r="I1686" s="22">
        <f t="shared" ref="I1686:L1686" si="2728">I1682</f>
        <v>8109.0400000000009</v>
      </c>
      <c r="J1686" s="22">
        <f t="shared" si="2728"/>
        <v>7703.0499999999993</v>
      </c>
      <c r="K1686" s="22">
        <f t="shared" si="2728"/>
        <v>7961</v>
      </c>
      <c r="L1686" s="22">
        <f t="shared" si="2728"/>
        <v>6922.1100000000006</v>
      </c>
      <c r="M1686" s="22">
        <f t="shared" ref="M1686" si="2729">M1682</f>
        <v>7208.4199999999992</v>
      </c>
      <c r="N1686" s="150">
        <f>N1682</f>
        <v>84683.439999999988</v>
      </c>
      <c r="O1686" s="22">
        <f>O1682</f>
        <v>7056.9533333333329</v>
      </c>
      <c r="P1686" s="103"/>
      <c r="Q1686" s="103"/>
      <c r="R1686" s="103"/>
      <c r="S1686" s="103"/>
      <c r="T1686" s="103"/>
      <c r="U1686" s="103"/>
      <c r="V1686" s="103"/>
      <c r="W1686" s="103"/>
      <c r="X1686" s="103"/>
      <c r="Y1686" s="103"/>
      <c r="Z1686" s="103"/>
    </row>
    <row r="1687" spans="1:26" s="9" customFormat="1" ht="15.75">
      <c r="A1687" s="32" t="s">
        <v>218</v>
      </c>
      <c r="B1687" s="22">
        <f t="shared" ref="B1687:L1687" si="2730">IF(B1682=0,"",B1682/B1870)</f>
        <v>243.76677419354837</v>
      </c>
      <c r="C1687" s="22">
        <f t="shared" si="2730"/>
        <v>259.93464285714288</v>
      </c>
      <c r="D1687" s="22">
        <f t="shared" si="2730"/>
        <v>236.64709677419353</v>
      </c>
      <c r="E1687" s="22">
        <f t="shared" si="2730"/>
        <v>199.51766666666666</v>
      </c>
      <c r="F1687" s="22">
        <f t="shared" si="2730"/>
        <v>200.1487096774193</v>
      </c>
      <c r="G1687" s="22">
        <f t="shared" si="2730"/>
        <v>195.54599999999999</v>
      </c>
      <c r="H1687" s="22">
        <f t="shared" si="2730"/>
        <v>211.36451612903224</v>
      </c>
      <c r="I1687" s="22">
        <f t="shared" ref="I1687" si="2731">IF(I1682=0,"",I1682/I1870)</f>
        <v>261.58193548387101</v>
      </c>
      <c r="J1687" s="22">
        <f t="shared" si="2730"/>
        <v>256.76833333333332</v>
      </c>
      <c r="K1687" s="22">
        <f t="shared" si="2730"/>
        <v>256.80645161290323</v>
      </c>
      <c r="L1687" s="22">
        <f t="shared" si="2730"/>
        <v>230.73700000000002</v>
      </c>
      <c r="M1687" s="22">
        <f t="shared" ref="M1687" si="2732">IF(M1682=0,"",M1682/M1870)</f>
        <v>232.52967741935481</v>
      </c>
      <c r="N1687" s="150">
        <f>SUM(B1687:M1687)</f>
        <v>2785.3488041474657</v>
      </c>
      <c r="O1687" s="22">
        <f>IF(N1687=0,0,AVERAGE(B1687:M1687))</f>
        <v>232.11240034562215</v>
      </c>
      <c r="P1687" s="103"/>
      <c r="Q1687" s="103"/>
      <c r="R1687" s="103"/>
      <c r="S1687" s="103"/>
      <c r="T1687" s="103"/>
      <c r="U1687" s="103"/>
      <c r="V1687" s="103"/>
      <c r="W1687" s="103"/>
      <c r="X1687" s="103"/>
      <c r="Y1687" s="103"/>
      <c r="Z1687" s="103"/>
    </row>
    <row r="1688" spans="1:26" s="9" customFormat="1" ht="15.75">
      <c r="A1688" s="126"/>
      <c r="B1688" s="355"/>
      <c r="C1688" s="355"/>
      <c r="D1688" s="355"/>
      <c r="E1688" s="355"/>
      <c r="F1688" s="355"/>
      <c r="G1688" s="355"/>
      <c r="H1688" s="355"/>
      <c r="I1688" s="355"/>
      <c r="J1688" s="355"/>
      <c r="K1688" s="355"/>
      <c r="L1688" s="355"/>
      <c r="M1688" s="355"/>
      <c r="N1688" s="166"/>
      <c r="O1688" s="139"/>
      <c r="P1688" s="103"/>
      <c r="Q1688" s="103"/>
      <c r="R1688" s="103"/>
      <c r="S1688" s="103"/>
      <c r="T1688" s="103"/>
      <c r="U1688" s="103"/>
      <c r="V1688" s="103"/>
      <c r="W1688" s="103"/>
      <c r="X1688" s="103"/>
      <c r="Y1688" s="103"/>
      <c r="Z1688" s="103"/>
    </row>
    <row r="1689" spans="1:26" s="9" customFormat="1" ht="15.75">
      <c r="A1689" s="17" t="s">
        <v>861</v>
      </c>
      <c r="B1689" s="30"/>
      <c r="C1689" s="30"/>
      <c r="D1689" s="30"/>
      <c r="E1689" s="30"/>
      <c r="F1689" s="30"/>
      <c r="G1689" s="30"/>
      <c r="H1689" s="30"/>
      <c r="I1689" s="30"/>
      <c r="J1689" s="30"/>
      <c r="K1689" s="30"/>
      <c r="L1689" s="30"/>
      <c r="M1689" s="30"/>
      <c r="N1689" s="152"/>
      <c r="O1689" s="31"/>
      <c r="P1689" s="103"/>
      <c r="Q1689" s="103"/>
      <c r="R1689" s="103"/>
      <c r="S1689" s="103"/>
      <c r="T1689" s="103"/>
      <c r="U1689" s="103"/>
      <c r="V1689" s="103"/>
      <c r="W1689" s="103"/>
      <c r="X1689" s="103"/>
      <c r="Y1689" s="103"/>
      <c r="Z1689" s="103"/>
    </row>
    <row r="1690" spans="1:26" s="9" customFormat="1" ht="15.75">
      <c r="A1690" s="206" t="s">
        <v>866</v>
      </c>
      <c r="B1690" s="200"/>
      <c r="C1690" s="200"/>
      <c r="D1690" s="200"/>
      <c r="E1690" s="200"/>
      <c r="F1690" s="200"/>
      <c r="G1690" s="200"/>
      <c r="H1690" s="200"/>
      <c r="I1690" s="200"/>
      <c r="J1690" s="200"/>
      <c r="K1690" s="200"/>
      <c r="L1690" s="200"/>
      <c r="M1690" s="200"/>
      <c r="N1690" s="165"/>
      <c r="O1690" s="82"/>
      <c r="P1690" s="103"/>
      <c r="Q1690" s="103"/>
      <c r="R1690" s="103"/>
      <c r="S1690" s="103"/>
      <c r="T1690" s="103"/>
      <c r="U1690" s="103"/>
      <c r="V1690" s="103"/>
      <c r="W1690" s="103"/>
      <c r="X1690" s="103"/>
      <c r="Y1690" s="103"/>
      <c r="Z1690" s="103"/>
    </row>
    <row r="1691" spans="1:26" s="9" customFormat="1" ht="15.75">
      <c r="A1691" s="455" t="s">
        <v>863</v>
      </c>
      <c r="B1691" s="456">
        <v>1031</v>
      </c>
      <c r="C1691" s="456">
        <v>1018</v>
      </c>
      <c r="D1691" s="456">
        <v>1121</v>
      </c>
      <c r="E1691" s="456">
        <v>1109</v>
      </c>
      <c r="F1691" s="456">
        <v>1585</v>
      </c>
      <c r="G1691" s="456">
        <v>2127</v>
      </c>
      <c r="H1691" s="456">
        <v>1173.5999999999999</v>
      </c>
      <c r="I1691" s="456">
        <f>1282.2+65.4</f>
        <v>1347.6000000000001</v>
      </c>
      <c r="J1691" s="468">
        <v>1153.5999999999999</v>
      </c>
      <c r="K1691" s="468">
        <v>1093</v>
      </c>
      <c r="L1691" s="456">
        <v>803.7</v>
      </c>
      <c r="M1691" s="456">
        <v>1163.45</v>
      </c>
      <c r="N1691" s="199">
        <f t="shared" ref="N1691:N1693" si="2733">SUM(B1691:M1691)</f>
        <v>14725.950000000003</v>
      </c>
      <c r="O1691" s="22">
        <f t="shared" ref="O1691:O1693" si="2734">IF(N1691=0,0,AVERAGE(B1691:M1691))</f>
        <v>1227.1625000000001</v>
      </c>
      <c r="P1691" s="103"/>
      <c r="Q1691" s="103"/>
      <c r="R1691" s="103"/>
      <c r="S1691" s="103"/>
      <c r="T1691" s="103"/>
      <c r="U1691" s="103"/>
      <c r="V1691" s="103"/>
      <c r="W1691" s="103"/>
      <c r="X1691" s="103"/>
      <c r="Y1691" s="103"/>
      <c r="Z1691" s="103"/>
    </row>
    <row r="1692" spans="1:26" s="9" customFormat="1" ht="15.75">
      <c r="A1692" s="455" t="s">
        <v>862</v>
      </c>
      <c r="B1692" s="456" t="s">
        <v>44</v>
      </c>
      <c r="C1692" s="456" t="s">
        <v>44</v>
      </c>
      <c r="D1692" s="456" t="s">
        <v>44</v>
      </c>
      <c r="E1692" s="456" t="s">
        <v>44</v>
      </c>
      <c r="F1692" s="456" t="s">
        <v>44</v>
      </c>
      <c r="G1692" s="456" t="s">
        <v>44</v>
      </c>
      <c r="H1692" s="456" t="s">
        <v>44</v>
      </c>
      <c r="I1692" s="456" t="s">
        <v>44</v>
      </c>
      <c r="J1692" s="456" t="s">
        <v>44</v>
      </c>
      <c r="K1692" s="456" t="s">
        <v>44</v>
      </c>
      <c r="L1692" s="456" t="s">
        <v>44</v>
      </c>
      <c r="M1692" s="456">
        <v>34.75</v>
      </c>
      <c r="N1692" s="199">
        <f t="shared" si="2733"/>
        <v>34.75</v>
      </c>
      <c r="O1692" s="22">
        <f t="shared" si="2734"/>
        <v>34.75</v>
      </c>
      <c r="P1692" s="103"/>
      <c r="Q1692" s="103"/>
      <c r="R1692" s="103"/>
      <c r="S1692" s="103"/>
      <c r="T1692" s="103"/>
      <c r="U1692" s="103"/>
      <c r="V1692" s="103"/>
      <c r="W1692" s="103"/>
      <c r="X1692" s="103"/>
      <c r="Y1692" s="103"/>
      <c r="Z1692" s="103"/>
    </row>
    <row r="1693" spans="1:26" s="9" customFormat="1" ht="15.75">
      <c r="A1693" s="455" t="s">
        <v>864</v>
      </c>
      <c r="B1693" s="456" t="s">
        <v>44</v>
      </c>
      <c r="C1693" s="456" t="s">
        <v>44</v>
      </c>
      <c r="D1693" s="456" t="s">
        <v>44</v>
      </c>
      <c r="E1693" s="456" t="s">
        <v>44</v>
      </c>
      <c r="F1693" s="456" t="s">
        <v>44</v>
      </c>
      <c r="G1693" s="456" t="s">
        <v>44</v>
      </c>
      <c r="H1693" s="456" t="s">
        <v>44</v>
      </c>
      <c r="I1693" s="456" t="s">
        <v>44</v>
      </c>
      <c r="J1693" s="456" t="s">
        <v>44</v>
      </c>
      <c r="K1693" s="456" t="s">
        <v>44</v>
      </c>
      <c r="L1693" s="456" t="s">
        <v>44</v>
      </c>
      <c r="M1693" s="456" t="s">
        <v>44</v>
      </c>
      <c r="N1693" s="199">
        <f t="shared" si="2733"/>
        <v>0</v>
      </c>
      <c r="O1693" s="22">
        <f t="shared" si="2734"/>
        <v>0</v>
      </c>
      <c r="P1693" s="103"/>
      <c r="Q1693" s="103"/>
      <c r="R1693" s="103"/>
      <c r="S1693" s="103"/>
      <c r="T1693" s="103"/>
      <c r="U1693" s="103"/>
      <c r="V1693" s="103"/>
      <c r="W1693" s="103"/>
      <c r="X1693" s="103"/>
      <c r="Y1693" s="103"/>
      <c r="Z1693" s="103"/>
    </row>
    <row r="1694" spans="1:26" s="9" customFormat="1" ht="15.75">
      <c r="A1694" s="455" t="s">
        <v>865</v>
      </c>
      <c r="B1694" s="456" t="s">
        <v>44</v>
      </c>
      <c r="C1694" s="456" t="s">
        <v>44</v>
      </c>
      <c r="D1694" s="456" t="s">
        <v>44</v>
      </c>
      <c r="E1694" s="456" t="s">
        <v>44</v>
      </c>
      <c r="F1694" s="456" t="s">
        <v>44</v>
      </c>
      <c r="G1694" s="456" t="s">
        <v>44</v>
      </c>
      <c r="H1694" s="456" t="s">
        <v>44</v>
      </c>
      <c r="I1694" s="456" t="s">
        <v>44</v>
      </c>
      <c r="J1694" s="456" t="s">
        <v>44</v>
      </c>
      <c r="K1694" s="456" t="s">
        <v>44</v>
      </c>
      <c r="L1694" s="456" t="s">
        <v>44</v>
      </c>
      <c r="M1694" s="456" t="s">
        <v>44</v>
      </c>
      <c r="N1694" s="199">
        <f t="shared" ref="N1694" si="2735">SUM(B1694:M1694)</f>
        <v>0</v>
      </c>
      <c r="O1694" s="22">
        <f t="shared" ref="O1694" si="2736">IF(N1694=0,0,AVERAGE(B1694:M1694))</f>
        <v>0</v>
      </c>
      <c r="P1694" s="103"/>
      <c r="Q1694" s="103"/>
      <c r="R1694" s="103"/>
      <c r="S1694" s="103"/>
      <c r="T1694" s="103"/>
      <c r="U1694" s="103"/>
      <c r="V1694" s="103"/>
      <c r="W1694" s="103"/>
      <c r="X1694" s="103"/>
      <c r="Y1694" s="103"/>
      <c r="Z1694" s="103"/>
    </row>
    <row r="1695" spans="1:26" s="9" customFormat="1" ht="15.75">
      <c r="A1695" s="123" t="s">
        <v>21</v>
      </c>
      <c r="B1695" s="125">
        <f>SUM(B1691:B1694)</f>
        <v>1031</v>
      </c>
      <c r="C1695" s="125">
        <f t="shared" ref="C1695:F1695" si="2737">SUM(C1691:C1694)</f>
        <v>1018</v>
      </c>
      <c r="D1695" s="125">
        <f t="shared" si="2737"/>
        <v>1121</v>
      </c>
      <c r="E1695" s="125">
        <f t="shared" si="2737"/>
        <v>1109</v>
      </c>
      <c r="F1695" s="125">
        <f t="shared" si="2737"/>
        <v>1585</v>
      </c>
      <c r="G1695" s="125">
        <f t="shared" ref="G1695:H1695" si="2738">SUM(G1691:G1694)</f>
        <v>2127</v>
      </c>
      <c r="H1695" s="125">
        <f t="shared" si="2738"/>
        <v>1173.5999999999999</v>
      </c>
      <c r="I1695" s="125">
        <f t="shared" ref="I1695:J1695" si="2739">SUM(I1691:I1694)</f>
        <v>1347.6000000000001</v>
      </c>
      <c r="J1695" s="125">
        <f t="shared" si="2739"/>
        <v>1153.5999999999999</v>
      </c>
      <c r="K1695" s="125">
        <f t="shared" ref="K1695:L1695" si="2740">SUM(K1691:K1694)</f>
        <v>1093</v>
      </c>
      <c r="L1695" s="125">
        <f t="shared" si="2740"/>
        <v>803.7</v>
      </c>
      <c r="M1695" s="125">
        <f t="shared" ref="M1695" si="2741">SUM(M1691:M1694)</f>
        <v>1198.2</v>
      </c>
      <c r="N1695" s="457">
        <f>SUM(N1691:N1694)</f>
        <v>14760.700000000003</v>
      </c>
      <c r="O1695" s="374">
        <f>SUM(O1691:O1694)</f>
        <v>1261.9125000000001</v>
      </c>
      <c r="P1695" s="103"/>
      <c r="Q1695" s="103"/>
      <c r="R1695" s="103"/>
      <c r="S1695" s="103"/>
      <c r="T1695" s="103"/>
      <c r="U1695" s="103"/>
      <c r="V1695" s="103"/>
      <c r="W1695" s="103"/>
      <c r="X1695" s="103"/>
      <c r="Y1695" s="103"/>
      <c r="Z1695" s="103"/>
    </row>
    <row r="1696" spans="1:26" s="9" customFormat="1" ht="15.75">
      <c r="A1696" s="62" t="s">
        <v>112</v>
      </c>
      <c r="B1696" s="25">
        <f t="shared" ref="B1696:G1696" si="2742">IF(B1695=0,"",B1695/B$1870)</f>
        <v>33.258064516129032</v>
      </c>
      <c r="C1696" s="25">
        <f t="shared" si="2742"/>
        <v>36.357142857142854</v>
      </c>
      <c r="D1696" s="25">
        <f t="shared" si="2742"/>
        <v>36.161290322580648</v>
      </c>
      <c r="E1696" s="25">
        <f t="shared" si="2742"/>
        <v>36.966666666666669</v>
      </c>
      <c r="F1696" s="25">
        <f t="shared" si="2742"/>
        <v>51.12903225806452</v>
      </c>
      <c r="G1696" s="25">
        <f t="shared" si="2742"/>
        <v>70.900000000000006</v>
      </c>
      <c r="H1696" s="25">
        <f t="shared" ref="H1696:I1696" si="2743">IF(H1695=0,"",H1695/H$1870)</f>
        <v>37.858064516129026</v>
      </c>
      <c r="I1696" s="25">
        <f t="shared" si="2743"/>
        <v>43.470967741935489</v>
      </c>
      <c r="J1696" s="25">
        <f t="shared" ref="J1696:K1696" si="2744">IF(J1695=0,"",J1695/J$1870)</f>
        <v>38.453333333333333</v>
      </c>
      <c r="K1696" s="25">
        <f t="shared" si="2744"/>
        <v>35.258064516129032</v>
      </c>
      <c r="L1696" s="25">
        <f t="shared" ref="L1696:M1696" si="2745">IF(L1695=0,"",L1695/L$1870)</f>
        <v>26.790000000000003</v>
      </c>
      <c r="M1696" s="25">
        <f t="shared" si="2745"/>
        <v>38.651612903225811</v>
      </c>
      <c r="N1696" s="144">
        <f>SUM(B1696:M1696)</f>
        <v>485.25423963133642</v>
      </c>
      <c r="O1696" s="25">
        <f>IF(N1696=0,0,AVERAGE(B1696:M1696))</f>
        <v>40.437853302611366</v>
      </c>
      <c r="P1696" s="103"/>
      <c r="Q1696" s="103"/>
      <c r="R1696" s="103"/>
      <c r="S1696" s="103"/>
      <c r="T1696" s="103"/>
      <c r="U1696" s="103"/>
      <c r="V1696" s="103"/>
      <c r="W1696" s="103"/>
      <c r="X1696" s="103"/>
      <c r="Y1696" s="103"/>
      <c r="Z1696" s="103"/>
    </row>
    <row r="1697" spans="1:26" s="9" customFormat="1" ht="15.75">
      <c r="A1697" s="126"/>
      <c r="B1697" s="355"/>
      <c r="C1697" s="355"/>
      <c r="D1697" s="355"/>
      <c r="E1697" s="355"/>
      <c r="F1697" s="355"/>
      <c r="G1697" s="355"/>
      <c r="H1697" s="355"/>
      <c r="I1697" s="355"/>
      <c r="J1697" s="355"/>
      <c r="K1697" s="355"/>
      <c r="L1697" s="355"/>
      <c r="M1697" s="355"/>
      <c r="N1697" s="166"/>
      <c r="O1697" s="139"/>
      <c r="P1697" s="103"/>
      <c r="Q1697" s="103"/>
      <c r="R1697" s="103"/>
      <c r="S1697" s="103"/>
      <c r="T1697" s="103"/>
      <c r="U1697" s="103"/>
      <c r="V1697" s="103"/>
      <c r="W1697" s="103"/>
      <c r="X1697" s="103"/>
      <c r="Y1697" s="103"/>
      <c r="Z1697" s="103"/>
    </row>
    <row r="1698" spans="1:26" s="9" customFormat="1" ht="15.75">
      <c r="A1698" s="206" t="s">
        <v>870</v>
      </c>
      <c r="B1698" s="200"/>
      <c r="C1698" s="200"/>
      <c r="D1698" s="200"/>
      <c r="E1698" s="200"/>
      <c r="F1698" s="200"/>
      <c r="G1698" s="200"/>
      <c r="H1698" s="200"/>
      <c r="I1698" s="200"/>
      <c r="J1698" s="200"/>
      <c r="K1698" s="200"/>
      <c r="L1698" s="200"/>
      <c r="M1698" s="200"/>
      <c r="N1698" s="165"/>
      <c r="O1698" s="82"/>
      <c r="P1698" s="103"/>
      <c r="Q1698" s="103"/>
      <c r="R1698" s="103"/>
      <c r="S1698" s="103"/>
      <c r="T1698" s="103"/>
      <c r="U1698" s="103"/>
      <c r="V1698" s="103"/>
      <c r="W1698" s="103"/>
      <c r="X1698" s="103"/>
      <c r="Y1698" s="103"/>
      <c r="Z1698" s="103"/>
    </row>
    <row r="1699" spans="1:26" s="9" customFormat="1" ht="15.75">
      <c r="A1699" s="455" t="s">
        <v>863</v>
      </c>
      <c r="B1699" s="456">
        <v>2783.7</v>
      </c>
      <c r="C1699" s="456">
        <v>2748.71</v>
      </c>
      <c r="D1699" s="456">
        <v>3026.7</v>
      </c>
      <c r="E1699" s="456">
        <v>2995.25</v>
      </c>
      <c r="F1699" s="456">
        <v>4279.5</v>
      </c>
      <c r="G1699" s="456">
        <v>5742.9</v>
      </c>
      <c r="H1699" s="456">
        <v>3168.42</v>
      </c>
      <c r="I1699" s="456">
        <f>3461.94+327</f>
        <v>3788.94</v>
      </c>
      <c r="J1699" s="456">
        <v>3114.72</v>
      </c>
      <c r="K1699" s="456">
        <v>2951.1</v>
      </c>
      <c r="L1699" s="456">
        <v>2169.9899999999998</v>
      </c>
      <c r="M1699" s="456">
        <v>3141.32</v>
      </c>
      <c r="N1699" s="199">
        <f t="shared" ref="N1699:N1701" si="2746">SUM(B1699:M1699)</f>
        <v>39911.25</v>
      </c>
      <c r="O1699" s="22">
        <f t="shared" ref="O1699:O1701" si="2747">IF(N1699=0,0,AVERAGE(B1699:M1699))</f>
        <v>3325.9375</v>
      </c>
      <c r="P1699" s="103"/>
      <c r="Q1699" s="103"/>
      <c r="R1699" s="103"/>
      <c r="S1699" s="103"/>
      <c r="T1699" s="103"/>
      <c r="U1699" s="103"/>
      <c r="V1699" s="103"/>
      <c r="W1699" s="103"/>
      <c r="X1699" s="103"/>
      <c r="Y1699" s="103"/>
      <c r="Z1699" s="103"/>
    </row>
    <row r="1700" spans="1:26" s="9" customFormat="1" ht="15.75">
      <c r="A1700" s="455" t="s">
        <v>862</v>
      </c>
      <c r="B1700" s="456" t="s">
        <v>44</v>
      </c>
      <c r="C1700" s="456" t="s">
        <v>44</v>
      </c>
      <c r="D1700" s="456" t="s">
        <v>44</v>
      </c>
      <c r="E1700" s="456" t="s">
        <v>44</v>
      </c>
      <c r="F1700" s="456" t="s">
        <v>44</v>
      </c>
      <c r="G1700" s="456" t="s">
        <v>44</v>
      </c>
      <c r="H1700" s="456" t="s">
        <v>44</v>
      </c>
      <c r="I1700" s="456" t="s">
        <v>44</v>
      </c>
      <c r="J1700" s="456" t="s">
        <v>44</v>
      </c>
      <c r="K1700" s="456" t="s">
        <v>44</v>
      </c>
      <c r="L1700" s="456" t="s">
        <v>44</v>
      </c>
      <c r="M1700" s="456">
        <v>173.75</v>
      </c>
      <c r="N1700" s="199">
        <f t="shared" si="2746"/>
        <v>173.75</v>
      </c>
      <c r="O1700" s="22">
        <f t="shared" si="2747"/>
        <v>173.75</v>
      </c>
      <c r="P1700" s="103"/>
      <c r="Q1700" s="103"/>
      <c r="R1700" s="103"/>
      <c r="S1700" s="103"/>
      <c r="T1700" s="103"/>
      <c r="U1700" s="103"/>
      <c r="V1700" s="103"/>
      <c r="W1700" s="103"/>
      <c r="X1700" s="103"/>
      <c r="Y1700" s="103"/>
      <c r="Z1700" s="103"/>
    </row>
    <row r="1701" spans="1:26" s="9" customFormat="1" ht="15.75">
      <c r="A1701" s="455" t="s">
        <v>864</v>
      </c>
      <c r="B1701" s="456" t="s">
        <v>44</v>
      </c>
      <c r="C1701" s="456" t="s">
        <v>44</v>
      </c>
      <c r="D1701" s="456" t="s">
        <v>44</v>
      </c>
      <c r="E1701" s="456" t="s">
        <v>44</v>
      </c>
      <c r="F1701" s="456" t="s">
        <v>44</v>
      </c>
      <c r="G1701" s="456" t="s">
        <v>44</v>
      </c>
      <c r="H1701" s="456" t="s">
        <v>44</v>
      </c>
      <c r="I1701" s="456" t="s">
        <v>44</v>
      </c>
      <c r="J1701" s="456" t="s">
        <v>44</v>
      </c>
      <c r="K1701" s="456" t="s">
        <v>44</v>
      </c>
      <c r="L1701" s="456" t="s">
        <v>44</v>
      </c>
      <c r="M1701" s="456" t="s">
        <v>44</v>
      </c>
      <c r="N1701" s="199">
        <f t="shared" si="2746"/>
        <v>0</v>
      </c>
      <c r="O1701" s="22">
        <f t="shared" si="2747"/>
        <v>0</v>
      </c>
      <c r="P1701" s="103"/>
      <c r="Q1701" s="103"/>
      <c r="R1701" s="103"/>
      <c r="S1701" s="103"/>
      <c r="T1701" s="103"/>
      <c r="U1701" s="103"/>
      <c r="V1701" s="103"/>
      <c r="W1701" s="103"/>
      <c r="X1701" s="103"/>
      <c r="Y1701" s="103"/>
      <c r="Z1701" s="103"/>
    </row>
    <row r="1702" spans="1:26" s="9" customFormat="1" ht="15.75">
      <c r="A1702" s="455" t="s">
        <v>865</v>
      </c>
      <c r="B1702" s="456" t="s">
        <v>44</v>
      </c>
      <c r="C1702" s="456" t="s">
        <v>44</v>
      </c>
      <c r="D1702" s="456" t="s">
        <v>44</v>
      </c>
      <c r="E1702" s="456" t="s">
        <v>44</v>
      </c>
      <c r="F1702" s="456" t="s">
        <v>44</v>
      </c>
      <c r="G1702" s="456" t="s">
        <v>44</v>
      </c>
      <c r="H1702" s="456" t="s">
        <v>44</v>
      </c>
      <c r="I1702" s="456" t="s">
        <v>44</v>
      </c>
      <c r="J1702" s="456" t="s">
        <v>44</v>
      </c>
      <c r="K1702" s="456" t="s">
        <v>44</v>
      </c>
      <c r="L1702" s="456" t="s">
        <v>44</v>
      </c>
      <c r="M1702" s="456" t="s">
        <v>44</v>
      </c>
      <c r="N1702" s="199">
        <f t="shared" ref="N1702" si="2748">SUM(B1702:M1702)</f>
        <v>0</v>
      </c>
      <c r="O1702" s="22">
        <f t="shared" ref="O1702" si="2749">IF(N1702=0,0,AVERAGE(B1702:M1702))</f>
        <v>0</v>
      </c>
      <c r="P1702" s="103"/>
      <c r="Q1702" s="103"/>
      <c r="R1702" s="103"/>
      <c r="S1702" s="103"/>
      <c r="T1702" s="103"/>
      <c r="U1702" s="103"/>
      <c r="V1702" s="103"/>
      <c r="W1702" s="103"/>
      <c r="X1702" s="103"/>
      <c r="Y1702" s="103"/>
      <c r="Z1702" s="103"/>
    </row>
    <row r="1703" spans="1:26" s="9" customFormat="1" ht="15.75">
      <c r="A1703" s="123" t="s">
        <v>21</v>
      </c>
      <c r="B1703" s="125">
        <f>SUM(B1699:B1702)</f>
        <v>2783.7</v>
      </c>
      <c r="C1703" s="125">
        <f t="shared" ref="C1703" si="2750">SUM(C1699:C1702)</f>
        <v>2748.71</v>
      </c>
      <c r="D1703" s="125">
        <f t="shared" ref="D1703" si="2751">SUM(D1699:D1702)</f>
        <v>3026.7</v>
      </c>
      <c r="E1703" s="125">
        <f t="shared" ref="E1703" si="2752">SUM(E1699:E1702)</f>
        <v>2995.25</v>
      </c>
      <c r="F1703" s="125">
        <f t="shared" ref="F1703:G1703" si="2753">SUM(F1699:F1702)</f>
        <v>4279.5</v>
      </c>
      <c r="G1703" s="125">
        <f t="shared" si="2753"/>
        <v>5742.9</v>
      </c>
      <c r="H1703" s="125">
        <f t="shared" ref="H1703:J1703" si="2754">SUM(H1699:H1702)</f>
        <v>3168.42</v>
      </c>
      <c r="I1703" s="125">
        <f t="shared" si="2754"/>
        <v>3788.94</v>
      </c>
      <c r="J1703" s="125">
        <f t="shared" si="2754"/>
        <v>3114.72</v>
      </c>
      <c r="K1703" s="125">
        <f t="shared" ref="K1703:L1703" si="2755">SUM(K1699:K1702)</f>
        <v>2951.1</v>
      </c>
      <c r="L1703" s="125">
        <f t="shared" si="2755"/>
        <v>2169.9899999999998</v>
      </c>
      <c r="M1703" s="125">
        <f t="shared" ref="M1703" si="2756">SUM(M1699:M1702)</f>
        <v>3315.07</v>
      </c>
      <c r="N1703" s="144">
        <f>SUM(B1703:M1703)</f>
        <v>40085</v>
      </c>
      <c r="O1703" s="25">
        <f>IF(N1703=0,0,AVERAGE(B1703:M1703))</f>
        <v>3340.4166666666665</v>
      </c>
      <c r="P1703" s="103"/>
      <c r="Q1703" s="103"/>
      <c r="R1703" s="103"/>
      <c r="S1703" s="103"/>
      <c r="T1703" s="103"/>
      <c r="U1703" s="103"/>
      <c r="V1703" s="103"/>
      <c r="W1703" s="103"/>
      <c r="X1703" s="103"/>
      <c r="Y1703" s="103"/>
      <c r="Z1703" s="103"/>
    </row>
    <row r="1704" spans="1:26" s="9" customFormat="1" ht="15.75">
      <c r="A1704" s="62" t="s">
        <v>112</v>
      </c>
      <c r="B1704" s="25">
        <f t="shared" ref="B1704:G1704" si="2757">IF(B1703=0,"",B1703/B$1870)</f>
        <v>89.796774193548387</v>
      </c>
      <c r="C1704" s="25">
        <f t="shared" si="2757"/>
        <v>98.168214285714285</v>
      </c>
      <c r="D1704" s="25">
        <f t="shared" si="2757"/>
        <v>97.635483870967732</v>
      </c>
      <c r="E1704" s="25">
        <f t="shared" si="2757"/>
        <v>99.841666666666669</v>
      </c>
      <c r="F1704" s="25">
        <f t="shared" si="2757"/>
        <v>138.04838709677421</v>
      </c>
      <c r="G1704" s="25">
        <f t="shared" si="2757"/>
        <v>191.42999999999998</v>
      </c>
      <c r="H1704" s="25">
        <f t="shared" ref="H1704:I1704" si="2758">IF(H1703=0,"",H1703/H$1870)</f>
        <v>102.20709677419354</v>
      </c>
      <c r="I1704" s="25">
        <f t="shared" si="2758"/>
        <v>122.22387096774193</v>
      </c>
      <c r="J1704" s="25">
        <f t="shared" ref="J1704:K1704" si="2759">IF(J1703=0,"",J1703/J$1870)</f>
        <v>103.824</v>
      </c>
      <c r="K1704" s="25">
        <f t="shared" si="2759"/>
        <v>95.196774193548379</v>
      </c>
      <c r="L1704" s="25">
        <f t="shared" ref="L1704:M1704" si="2760">IF(L1703=0,"",L1703/L$1870)</f>
        <v>72.332999999999998</v>
      </c>
      <c r="M1704" s="25">
        <f t="shared" si="2760"/>
        <v>106.93774193548387</v>
      </c>
      <c r="N1704" s="144">
        <f>SUM(B1704:M1704)</f>
        <v>1317.6430099846391</v>
      </c>
      <c r="O1704" s="25">
        <f>IF(N1704=0,0,AVERAGE(B1704:M1704))</f>
        <v>109.8035841653866</v>
      </c>
      <c r="P1704" s="103"/>
      <c r="Q1704" s="103"/>
      <c r="R1704" s="103"/>
      <c r="S1704" s="103"/>
      <c r="T1704" s="103"/>
      <c r="U1704" s="103"/>
      <c r="V1704" s="103"/>
      <c r="W1704" s="103"/>
      <c r="X1704" s="103"/>
      <c r="Y1704" s="103"/>
      <c r="Z1704" s="103"/>
    </row>
    <row r="1705" spans="1:26" s="9" customFormat="1" ht="15.75">
      <c r="A1705" s="126"/>
      <c r="B1705" s="355"/>
      <c r="C1705" s="355"/>
      <c r="D1705" s="355"/>
      <c r="E1705" s="355"/>
      <c r="F1705" s="355"/>
      <c r="G1705" s="355"/>
      <c r="H1705" s="355"/>
      <c r="I1705" s="355"/>
      <c r="J1705" s="355"/>
      <c r="K1705" s="355"/>
      <c r="L1705" s="355"/>
      <c r="M1705" s="355"/>
      <c r="N1705" s="166"/>
      <c r="O1705" s="139"/>
      <c r="P1705" s="103"/>
      <c r="Q1705" s="103"/>
      <c r="R1705" s="103"/>
      <c r="S1705" s="103"/>
      <c r="T1705" s="103"/>
      <c r="U1705" s="103"/>
      <c r="V1705" s="103"/>
      <c r="W1705" s="103"/>
      <c r="X1705" s="103"/>
      <c r="Y1705" s="103"/>
      <c r="Z1705" s="103"/>
    </row>
    <row r="1706" spans="1:26" s="9" customFormat="1" ht="15.75">
      <c r="A1706" s="17" t="s">
        <v>867</v>
      </c>
      <c r="B1706" s="30"/>
      <c r="C1706" s="30"/>
      <c r="D1706" s="30"/>
      <c r="E1706" s="30"/>
      <c r="F1706" s="30"/>
      <c r="G1706" s="30"/>
      <c r="H1706" s="30"/>
      <c r="I1706" s="30"/>
      <c r="J1706" s="30"/>
      <c r="K1706" s="30"/>
      <c r="L1706" s="30"/>
      <c r="M1706" s="30"/>
      <c r="N1706" s="152"/>
      <c r="O1706" s="31"/>
      <c r="P1706" s="103"/>
      <c r="Q1706" s="103"/>
      <c r="R1706" s="103"/>
      <c r="S1706" s="103"/>
      <c r="T1706" s="103"/>
      <c r="U1706" s="103"/>
      <c r="V1706" s="103"/>
      <c r="W1706" s="103"/>
      <c r="X1706" s="103"/>
      <c r="Y1706" s="103"/>
      <c r="Z1706" s="103"/>
    </row>
    <row r="1707" spans="1:26" s="9" customFormat="1" ht="15.75">
      <c r="A1707" s="66" t="s">
        <v>868</v>
      </c>
      <c r="B1707" s="81"/>
      <c r="C1707" s="81"/>
      <c r="D1707" s="81"/>
      <c r="E1707" s="81"/>
      <c r="F1707" s="81"/>
      <c r="G1707" s="81"/>
      <c r="H1707" s="81"/>
      <c r="I1707" s="81"/>
      <c r="J1707" s="81"/>
      <c r="K1707" s="81"/>
      <c r="L1707" s="81"/>
      <c r="M1707" s="81"/>
      <c r="N1707" s="165"/>
      <c r="O1707" s="82"/>
      <c r="P1707" s="103"/>
      <c r="Q1707" s="103"/>
      <c r="R1707" s="103"/>
      <c r="S1707" s="103"/>
      <c r="T1707" s="103"/>
      <c r="U1707" s="103"/>
      <c r="V1707" s="103"/>
      <c r="W1707" s="103"/>
      <c r="X1707" s="103"/>
      <c r="Y1707" s="103"/>
      <c r="Z1707" s="103"/>
    </row>
    <row r="1708" spans="1:26" s="9" customFormat="1" ht="15.75">
      <c r="A1708" s="37" t="s">
        <v>219</v>
      </c>
      <c r="B1708" s="21">
        <v>8</v>
      </c>
      <c r="C1708" s="21">
        <v>28</v>
      </c>
      <c r="D1708" s="21">
        <v>9</v>
      </c>
      <c r="E1708" s="21">
        <v>7</v>
      </c>
      <c r="F1708" s="21">
        <v>16</v>
      </c>
      <c r="G1708" s="21">
        <v>14</v>
      </c>
      <c r="H1708" s="21">
        <v>13</v>
      </c>
      <c r="I1708" s="21">
        <v>14</v>
      </c>
      <c r="J1708" s="21">
        <v>19</v>
      </c>
      <c r="K1708" s="21">
        <v>8</v>
      </c>
      <c r="L1708" s="21">
        <v>16</v>
      </c>
      <c r="M1708" s="21">
        <v>12</v>
      </c>
      <c r="N1708" s="150">
        <f t="shared" ref="N1708:N1718" si="2761">SUM(B1708:M1708)</f>
        <v>164</v>
      </c>
      <c r="O1708" s="22">
        <f t="shared" ref="O1708:O1718" si="2762">IF(N1708=0,0,AVERAGE(B1708:M1708))</f>
        <v>13.666666666666666</v>
      </c>
      <c r="P1708" s="103"/>
      <c r="Q1708" s="103"/>
      <c r="R1708" s="103"/>
      <c r="S1708" s="103"/>
      <c r="T1708" s="103"/>
      <c r="U1708" s="103"/>
      <c r="V1708" s="103"/>
      <c r="W1708" s="103"/>
      <c r="X1708" s="103"/>
      <c r="Y1708" s="103"/>
      <c r="Z1708" s="103"/>
    </row>
    <row r="1709" spans="1:26" s="9" customFormat="1" ht="15.75">
      <c r="A1709" s="37" t="s">
        <v>220</v>
      </c>
      <c r="B1709" s="21">
        <v>5</v>
      </c>
      <c r="C1709" s="21">
        <v>22</v>
      </c>
      <c r="D1709" s="21">
        <v>15</v>
      </c>
      <c r="E1709" s="21">
        <v>4</v>
      </c>
      <c r="F1709" s="21">
        <v>2</v>
      </c>
      <c r="G1709" s="21">
        <v>10</v>
      </c>
      <c r="H1709" s="21">
        <v>6</v>
      </c>
      <c r="I1709" s="21">
        <v>2</v>
      </c>
      <c r="J1709" s="21">
        <v>1</v>
      </c>
      <c r="K1709" s="21">
        <v>1</v>
      </c>
      <c r="L1709" s="21">
        <v>9</v>
      </c>
      <c r="M1709" s="21">
        <v>1</v>
      </c>
      <c r="N1709" s="150">
        <f t="shared" si="2761"/>
        <v>78</v>
      </c>
      <c r="O1709" s="22">
        <f t="shared" si="2762"/>
        <v>6.5</v>
      </c>
      <c r="P1709" s="103"/>
      <c r="Q1709" s="103"/>
      <c r="R1709" s="103"/>
      <c r="S1709" s="103"/>
      <c r="T1709" s="103"/>
      <c r="U1709" s="103"/>
      <c r="V1709" s="103"/>
      <c r="W1709" s="103"/>
      <c r="X1709" s="103"/>
      <c r="Y1709" s="103"/>
      <c r="Z1709" s="103"/>
    </row>
    <row r="1710" spans="1:26" s="9" customFormat="1" ht="15.75">
      <c r="A1710" s="37" t="s">
        <v>221</v>
      </c>
      <c r="B1710" s="21">
        <v>20</v>
      </c>
      <c r="C1710" s="21">
        <v>22</v>
      </c>
      <c r="D1710" s="21">
        <v>4</v>
      </c>
      <c r="E1710" s="21">
        <v>7</v>
      </c>
      <c r="F1710" s="21">
        <v>5</v>
      </c>
      <c r="G1710" s="21">
        <v>0</v>
      </c>
      <c r="H1710" s="21">
        <v>1</v>
      </c>
      <c r="I1710" s="21">
        <v>0</v>
      </c>
      <c r="J1710" s="21">
        <v>0</v>
      </c>
      <c r="K1710" s="21">
        <v>0</v>
      </c>
      <c r="L1710" s="21">
        <v>0</v>
      </c>
      <c r="M1710" s="21">
        <v>0</v>
      </c>
      <c r="N1710" s="150">
        <f t="shared" si="2761"/>
        <v>59</v>
      </c>
      <c r="O1710" s="22">
        <f t="shared" si="2762"/>
        <v>4.916666666666667</v>
      </c>
      <c r="P1710" s="103"/>
      <c r="Q1710" s="103"/>
      <c r="R1710" s="103"/>
      <c r="S1710" s="103"/>
      <c r="T1710" s="103"/>
      <c r="U1710" s="103"/>
      <c r="V1710" s="103"/>
      <c r="W1710" s="103"/>
      <c r="X1710" s="103"/>
      <c r="Y1710" s="103"/>
      <c r="Z1710" s="103"/>
    </row>
    <row r="1711" spans="1:26" s="9" customFormat="1" ht="15.75">
      <c r="A1711" s="37" t="s">
        <v>222</v>
      </c>
      <c r="B1711" s="21">
        <v>45</v>
      </c>
      <c r="C1711" s="21">
        <v>44</v>
      </c>
      <c r="D1711" s="21">
        <v>47</v>
      </c>
      <c r="E1711" s="21">
        <v>37</v>
      </c>
      <c r="F1711" s="21">
        <v>46</v>
      </c>
      <c r="G1711" s="21">
        <v>51</v>
      </c>
      <c r="H1711" s="21">
        <v>42</v>
      </c>
      <c r="I1711" s="21">
        <v>39</v>
      </c>
      <c r="J1711" s="21">
        <v>44</v>
      </c>
      <c r="K1711" s="21">
        <v>55</v>
      </c>
      <c r="L1711" s="21">
        <v>33</v>
      </c>
      <c r="M1711" s="21">
        <v>28</v>
      </c>
      <c r="N1711" s="150">
        <f t="shared" si="2761"/>
        <v>511</v>
      </c>
      <c r="O1711" s="22">
        <f t="shared" si="2762"/>
        <v>42.583333333333336</v>
      </c>
      <c r="P1711" s="103"/>
      <c r="Q1711" s="103"/>
      <c r="R1711" s="103"/>
      <c r="S1711" s="103"/>
      <c r="T1711" s="103"/>
      <c r="U1711" s="103"/>
      <c r="V1711" s="103"/>
      <c r="W1711" s="103"/>
      <c r="X1711" s="103"/>
      <c r="Y1711" s="103"/>
      <c r="Z1711" s="103"/>
    </row>
    <row r="1712" spans="1:26" s="9" customFormat="1" ht="15.75">
      <c r="A1712" s="37" t="s">
        <v>223</v>
      </c>
      <c r="B1712" s="21">
        <v>0</v>
      </c>
      <c r="C1712" s="21">
        <v>0</v>
      </c>
      <c r="D1712" s="21">
        <v>0</v>
      </c>
      <c r="E1712" s="21">
        <v>0</v>
      </c>
      <c r="F1712" s="21">
        <v>0</v>
      </c>
      <c r="G1712" s="21">
        <v>0</v>
      </c>
      <c r="H1712" s="21">
        <v>0</v>
      </c>
      <c r="I1712" s="21">
        <v>0</v>
      </c>
      <c r="J1712" s="21">
        <v>0</v>
      </c>
      <c r="K1712" s="21">
        <v>0</v>
      </c>
      <c r="L1712" s="21">
        <v>0</v>
      </c>
      <c r="M1712" s="21">
        <v>0</v>
      </c>
      <c r="N1712" s="150">
        <f t="shared" si="2761"/>
        <v>0</v>
      </c>
      <c r="O1712" s="22">
        <f t="shared" si="2762"/>
        <v>0</v>
      </c>
      <c r="P1712" s="103"/>
      <c r="Q1712" s="103"/>
      <c r="R1712" s="103"/>
      <c r="S1712" s="103"/>
      <c r="T1712" s="103"/>
      <c r="U1712" s="103"/>
      <c r="V1712" s="103"/>
      <c r="W1712" s="103"/>
      <c r="X1712" s="103"/>
      <c r="Y1712" s="103"/>
      <c r="Z1712" s="103"/>
    </row>
    <row r="1713" spans="1:26" s="9" customFormat="1" ht="15.75">
      <c r="A1713" s="37" t="s">
        <v>224</v>
      </c>
      <c r="B1713" s="21">
        <v>47</v>
      </c>
      <c r="C1713" s="21">
        <v>53</v>
      </c>
      <c r="D1713" s="21">
        <v>55</v>
      </c>
      <c r="E1713" s="21">
        <v>18</v>
      </c>
      <c r="F1713" s="21">
        <v>21</v>
      </c>
      <c r="G1713" s="21">
        <v>43</v>
      </c>
      <c r="H1713" s="21">
        <v>51</v>
      </c>
      <c r="I1713" s="21">
        <v>52</v>
      </c>
      <c r="J1713" s="21">
        <v>38</v>
      </c>
      <c r="K1713" s="21">
        <v>50</v>
      </c>
      <c r="L1713" s="21">
        <v>25</v>
      </c>
      <c r="M1713" s="21">
        <v>20</v>
      </c>
      <c r="N1713" s="150">
        <f t="shared" si="2761"/>
        <v>473</v>
      </c>
      <c r="O1713" s="22">
        <f t="shared" si="2762"/>
        <v>39.416666666666664</v>
      </c>
      <c r="P1713" s="103"/>
      <c r="Q1713" s="103"/>
      <c r="R1713" s="103"/>
      <c r="S1713" s="103"/>
      <c r="T1713" s="103"/>
      <c r="U1713" s="103"/>
      <c r="V1713" s="103"/>
      <c r="W1713" s="103"/>
      <c r="X1713" s="103"/>
      <c r="Y1713" s="103"/>
      <c r="Z1713" s="103"/>
    </row>
    <row r="1714" spans="1:26" s="9" customFormat="1" ht="15.75">
      <c r="A1714" s="37" t="s">
        <v>227</v>
      </c>
      <c r="B1714" s="21">
        <v>0</v>
      </c>
      <c r="C1714" s="21">
        <v>0</v>
      </c>
      <c r="D1714" s="21">
        <v>0</v>
      </c>
      <c r="E1714" s="21">
        <v>0</v>
      </c>
      <c r="F1714" s="21">
        <v>0</v>
      </c>
      <c r="G1714" s="21">
        <v>0</v>
      </c>
      <c r="H1714" s="21">
        <v>0</v>
      </c>
      <c r="I1714" s="21">
        <v>0</v>
      </c>
      <c r="J1714" s="21">
        <v>0</v>
      </c>
      <c r="K1714" s="21">
        <v>0</v>
      </c>
      <c r="L1714" s="21">
        <v>0</v>
      </c>
      <c r="M1714" s="21">
        <v>0</v>
      </c>
      <c r="N1714" s="150">
        <f t="shared" si="2761"/>
        <v>0</v>
      </c>
      <c r="O1714" s="22">
        <f t="shared" si="2762"/>
        <v>0</v>
      </c>
      <c r="P1714" s="103"/>
      <c r="Q1714" s="103"/>
      <c r="R1714" s="103"/>
      <c r="S1714" s="103"/>
      <c r="T1714" s="103"/>
      <c r="U1714" s="103"/>
      <c r="V1714" s="103"/>
      <c r="W1714" s="103"/>
      <c r="X1714" s="103"/>
      <c r="Y1714" s="103"/>
      <c r="Z1714" s="103"/>
    </row>
    <row r="1715" spans="1:26" s="9" customFormat="1" ht="15.75">
      <c r="A1715" s="37" t="s">
        <v>225</v>
      </c>
      <c r="B1715" s="21">
        <v>22</v>
      </c>
      <c r="C1715" s="21">
        <v>32</v>
      </c>
      <c r="D1715" s="21">
        <v>17</v>
      </c>
      <c r="E1715" s="21">
        <v>10</v>
      </c>
      <c r="F1715" s="21">
        <v>14</v>
      </c>
      <c r="G1715" s="21">
        <v>10</v>
      </c>
      <c r="H1715" s="21">
        <v>19</v>
      </c>
      <c r="I1715" s="21">
        <v>12</v>
      </c>
      <c r="J1715" s="21">
        <v>9</v>
      </c>
      <c r="K1715" s="21">
        <v>5</v>
      </c>
      <c r="L1715" s="21">
        <v>2</v>
      </c>
      <c r="M1715" s="21">
        <v>0</v>
      </c>
      <c r="N1715" s="150">
        <f t="shared" si="2761"/>
        <v>152</v>
      </c>
      <c r="O1715" s="22">
        <f t="shared" si="2762"/>
        <v>12.666666666666666</v>
      </c>
      <c r="P1715" s="103"/>
      <c r="Q1715" s="103"/>
      <c r="R1715" s="103"/>
      <c r="S1715" s="103"/>
      <c r="T1715" s="103"/>
      <c r="U1715" s="103"/>
      <c r="V1715" s="103"/>
      <c r="W1715" s="103"/>
      <c r="X1715" s="103"/>
      <c r="Y1715" s="103"/>
      <c r="Z1715" s="103"/>
    </row>
    <row r="1716" spans="1:26" s="9" customFormat="1" ht="15.75">
      <c r="A1716" s="37" t="s">
        <v>226</v>
      </c>
      <c r="B1716" s="21">
        <v>0</v>
      </c>
      <c r="C1716" s="21">
        <v>2</v>
      </c>
      <c r="D1716" s="21">
        <v>7</v>
      </c>
      <c r="E1716" s="21">
        <v>0</v>
      </c>
      <c r="F1716" s="21">
        <v>0</v>
      </c>
      <c r="G1716" s="21">
        <v>0</v>
      </c>
      <c r="H1716" s="21">
        <v>0</v>
      </c>
      <c r="I1716" s="21">
        <v>0</v>
      </c>
      <c r="J1716" s="21">
        <v>0</v>
      </c>
      <c r="K1716" s="21">
        <v>0</v>
      </c>
      <c r="L1716" s="21">
        <v>0</v>
      </c>
      <c r="M1716" s="21">
        <v>0</v>
      </c>
      <c r="N1716" s="150">
        <f t="shared" si="2761"/>
        <v>9</v>
      </c>
      <c r="O1716" s="22">
        <f t="shared" si="2762"/>
        <v>0.75</v>
      </c>
      <c r="P1716" s="103"/>
      <c r="Q1716" s="103"/>
      <c r="R1716" s="103"/>
      <c r="S1716" s="103"/>
      <c r="T1716" s="103"/>
      <c r="U1716" s="103"/>
      <c r="V1716" s="103"/>
      <c r="W1716" s="103"/>
      <c r="X1716" s="103"/>
      <c r="Y1716" s="103"/>
      <c r="Z1716" s="103"/>
    </row>
    <row r="1717" spans="1:26" s="9" customFormat="1" ht="15.75">
      <c r="A1717" s="37" t="s">
        <v>228</v>
      </c>
      <c r="B1717" s="21">
        <v>16</v>
      </c>
      <c r="C1717" s="21">
        <v>22</v>
      </c>
      <c r="D1717" s="21">
        <v>42</v>
      </c>
      <c r="E1717" s="21">
        <v>8</v>
      </c>
      <c r="F1717" s="21">
        <v>52</v>
      </c>
      <c r="G1717" s="21">
        <v>66</v>
      </c>
      <c r="H1717" s="21">
        <v>105</v>
      </c>
      <c r="I1717" s="21">
        <v>18</v>
      </c>
      <c r="J1717" s="21">
        <v>27</v>
      </c>
      <c r="K1717" s="21">
        <v>49</v>
      </c>
      <c r="L1717" s="21">
        <v>44</v>
      </c>
      <c r="M1717" s="21">
        <v>29</v>
      </c>
      <c r="N1717" s="150">
        <f t="shared" si="2761"/>
        <v>478</v>
      </c>
      <c r="O1717" s="22">
        <f t="shared" si="2762"/>
        <v>39.833333333333336</v>
      </c>
      <c r="P1717" s="103"/>
      <c r="Q1717" s="103"/>
      <c r="R1717" s="103"/>
      <c r="S1717" s="103"/>
      <c r="T1717" s="103"/>
      <c r="U1717" s="103"/>
      <c r="V1717" s="103"/>
      <c r="W1717" s="103"/>
      <c r="X1717" s="103"/>
      <c r="Y1717" s="103"/>
      <c r="Z1717" s="103"/>
    </row>
    <row r="1718" spans="1:26" s="9" customFormat="1" ht="15.75">
      <c r="A1718" s="37" t="s">
        <v>229</v>
      </c>
      <c r="B1718" s="21">
        <v>93</v>
      </c>
      <c r="C1718" s="21">
        <v>127</v>
      </c>
      <c r="D1718" s="21">
        <v>82</v>
      </c>
      <c r="E1718" s="21">
        <v>45</v>
      </c>
      <c r="F1718" s="21">
        <v>123</v>
      </c>
      <c r="G1718" s="21">
        <v>159</v>
      </c>
      <c r="H1718" s="21">
        <v>92</v>
      </c>
      <c r="I1718" s="21">
        <v>101</v>
      </c>
      <c r="J1718" s="21">
        <v>69</v>
      </c>
      <c r="K1718" s="21">
        <v>87</v>
      </c>
      <c r="L1718" s="21">
        <v>29</v>
      </c>
      <c r="M1718" s="21">
        <v>61</v>
      </c>
      <c r="N1718" s="150">
        <f t="shared" si="2761"/>
        <v>1068</v>
      </c>
      <c r="O1718" s="22">
        <f t="shared" si="2762"/>
        <v>89</v>
      </c>
      <c r="P1718" s="103"/>
      <c r="Q1718" s="103"/>
      <c r="R1718" s="103"/>
      <c r="S1718" s="103"/>
      <c r="T1718" s="103"/>
      <c r="U1718" s="103"/>
      <c r="V1718" s="103"/>
      <c r="W1718" s="103"/>
      <c r="X1718" s="103"/>
      <c r="Y1718" s="103"/>
      <c r="Z1718" s="103"/>
    </row>
    <row r="1719" spans="1:26" s="9" customFormat="1" ht="15.75">
      <c r="A1719" s="37" t="s">
        <v>22</v>
      </c>
      <c r="B1719" s="21">
        <v>91</v>
      </c>
      <c r="C1719" s="21">
        <v>94</v>
      </c>
      <c r="D1719" s="21">
        <v>29</v>
      </c>
      <c r="E1719" s="21">
        <v>77</v>
      </c>
      <c r="F1719" s="21">
        <v>70</v>
      </c>
      <c r="G1719" s="21">
        <f>84+10</f>
        <v>94</v>
      </c>
      <c r="H1719" s="21">
        <v>95</v>
      </c>
      <c r="I1719" s="21">
        <v>121</v>
      </c>
      <c r="J1719" s="21">
        <f>90+4+1</f>
        <v>95</v>
      </c>
      <c r="K1719" s="21">
        <v>58</v>
      </c>
      <c r="L1719" s="21">
        <v>73</v>
      </c>
      <c r="M1719" s="21">
        <v>34</v>
      </c>
      <c r="N1719" s="150">
        <f>SUM(B1719:M1719)</f>
        <v>931</v>
      </c>
      <c r="O1719" s="22">
        <f>IF(N1719=0,0,AVERAGE(B1719:M1719))</f>
        <v>77.583333333333329</v>
      </c>
      <c r="P1719" s="103"/>
      <c r="Q1719" s="103"/>
      <c r="R1719" s="103"/>
      <c r="S1719" s="103"/>
      <c r="T1719" s="103"/>
      <c r="U1719" s="103"/>
      <c r="V1719" s="103"/>
      <c r="W1719" s="103"/>
      <c r="X1719" s="103"/>
      <c r="Y1719" s="103"/>
      <c r="Z1719" s="103"/>
    </row>
    <row r="1720" spans="1:26" s="9" customFormat="1" ht="15.75">
      <c r="A1720" s="62" t="s">
        <v>21</v>
      </c>
      <c r="B1720" s="24">
        <f t="shared" ref="B1720:G1720" si="2763">SUM(B1708:B1719)</f>
        <v>347</v>
      </c>
      <c r="C1720" s="24">
        <f t="shared" si="2763"/>
        <v>446</v>
      </c>
      <c r="D1720" s="24">
        <f t="shared" si="2763"/>
        <v>307</v>
      </c>
      <c r="E1720" s="24">
        <f t="shared" si="2763"/>
        <v>213</v>
      </c>
      <c r="F1720" s="24">
        <f t="shared" si="2763"/>
        <v>349</v>
      </c>
      <c r="G1720" s="24">
        <f t="shared" si="2763"/>
        <v>447</v>
      </c>
      <c r="H1720" s="24">
        <f t="shared" ref="H1720:I1720" si="2764">SUM(H1708:H1719)</f>
        <v>424</v>
      </c>
      <c r="I1720" s="24">
        <f t="shared" si="2764"/>
        <v>359</v>
      </c>
      <c r="J1720" s="24">
        <f t="shared" ref="J1720:K1720" si="2765">SUM(J1708:J1719)</f>
        <v>302</v>
      </c>
      <c r="K1720" s="24">
        <f t="shared" si="2765"/>
        <v>313</v>
      </c>
      <c r="L1720" s="24">
        <f t="shared" ref="L1720:M1720" si="2766">SUM(L1708:L1719)</f>
        <v>231</v>
      </c>
      <c r="M1720" s="24">
        <f t="shared" si="2766"/>
        <v>185</v>
      </c>
      <c r="N1720" s="144">
        <f>SUM(N1708:N1719)</f>
        <v>3923</v>
      </c>
      <c r="O1720" s="25">
        <f>SUM(O1708:O1719)</f>
        <v>326.91666666666669</v>
      </c>
      <c r="P1720" s="103"/>
      <c r="Q1720" s="103"/>
      <c r="R1720" s="103"/>
      <c r="S1720" s="103"/>
      <c r="T1720" s="103"/>
      <c r="U1720" s="103"/>
      <c r="V1720" s="103"/>
      <c r="W1720" s="103"/>
      <c r="X1720" s="103"/>
      <c r="Y1720" s="103"/>
      <c r="Z1720" s="103"/>
    </row>
    <row r="1721" spans="1:26" s="9" customFormat="1" ht="15.75">
      <c r="A1721" s="62" t="s">
        <v>112</v>
      </c>
      <c r="B1721" s="25">
        <f t="shared" ref="B1721" si="2767">IF(B1720=0,"",B1720/B$1870)</f>
        <v>11.193548387096774</v>
      </c>
      <c r="C1721" s="25">
        <f t="shared" ref="C1721:D1721" si="2768">IF(C1720=0,"",C1720/C$1870)</f>
        <v>15.928571428571429</v>
      </c>
      <c r="D1721" s="25">
        <f t="shared" si="2768"/>
        <v>9.9032258064516121</v>
      </c>
      <c r="E1721" s="25">
        <f t="shared" ref="E1721:M1721" si="2769">IF(E1720=0,"",E1720/F$1870)</f>
        <v>6.870967741935484</v>
      </c>
      <c r="F1721" s="25">
        <f t="shared" si="2769"/>
        <v>11.633333333333333</v>
      </c>
      <c r="G1721" s="25">
        <f t="shared" si="2769"/>
        <v>14.419354838709678</v>
      </c>
      <c r="H1721" s="25">
        <f t="shared" si="2769"/>
        <v>13.67741935483871</v>
      </c>
      <c r="I1721" s="25">
        <f t="shared" si="2769"/>
        <v>11.966666666666667</v>
      </c>
      <c r="J1721" s="25">
        <f t="shared" si="2769"/>
        <v>9.741935483870968</v>
      </c>
      <c r="K1721" s="25">
        <f t="shared" si="2769"/>
        <v>10.433333333333334</v>
      </c>
      <c r="L1721" s="25">
        <f t="shared" si="2769"/>
        <v>7.4516129032258061</v>
      </c>
      <c r="M1721" s="25">
        <f t="shared" si="2769"/>
        <v>0.50684931506849318</v>
      </c>
      <c r="N1721" s="144">
        <f>SUM(B1721:M1721)</f>
        <v>123.72681859310228</v>
      </c>
      <c r="O1721" s="25">
        <f>IF(N1721=0,0,AVERAGE(B1721:M1721))</f>
        <v>10.310568216091857</v>
      </c>
      <c r="P1721" s="103"/>
      <c r="Q1721" s="103"/>
      <c r="R1721" s="103"/>
      <c r="S1721" s="103"/>
      <c r="T1721" s="103"/>
      <c r="U1721" s="103"/>
      <c r="V1721" s="103"/>
      <c r="W1721" s="103"/>
      <c r="X1721" s="103"/>
      <c r="Y1721" s="103"/>
      <c r="Z1721" s="103"/>
    </row>
    <row r="1722" spans="1:26" s="9" customFormat="1">
      <c r="A1722" s="26"/>
      <c r="B1722" s="27"/>
      <c r="C1722" s="27"/>
      <c r="D1722" s="27"/>
      <c r="E1722" s="28"/>
      <c r="F1722" s="28"/>
      <c r="G1722" s="28"/>
      <c r="H1722" s="28"/>
      <c r="I1722" s="28"/>
      <c r="J1722" s="28"/>
      <c r="K1722" s="28"/>
      <c r="L1722" s="28"/>
      <c r="M1722" s="28"/>
      <c r="N1722" s="151"/>
      <c r="O1722" s="16"/>
      <c r="P1722" s="103"/>
      <c r="Q1722" s="103"/>
      <c r="R1722" s="103"/>
      <c r="S1722" s="103"/>
      <c r="T1722" s="103"/>
      <c r="U1722" s="103"/>
      <c r="V1722" s="103"/>
      <c r="W1722" s="103"/>
      <c r="X1722" s="103"/>
      <c r="Y1722" s="103"/>
      <c r="Z1722" s="103"/>
    </row>
    <row r="1723" spans="1:26" s="9" customFormat="1" ht="15.75">
      <c r="A1723" s="66" t="s">
        <v>869</v>
      </c>
      <c r="B1723" s="81"/>
      <c r="C1723" s="81"/>
      <c r="D1723" s="81"/>
      <c r="E1723" s="81"/>
      <c r="F1723" s="81"/>
      <c r="G1723" s="81"/>
      <c r="H1723" s="81"/>
      <c r="I1723" s="81"/>
      <c r="J1723" s="81"/>
      <c r="K1723" s="81"/>
      <c r="L1723" s="81"/>
      <c r="M1723" s="81"/>
      <c r="N1723" s="165"/>
      <c r="O1723" s="82"/>
      <c r="P1723" s="103"/>
      <c r="Q1723" s="103"/>
      <c r="R1723" s="103"/>
      <c r="S1723" s="103"/>
      <c r="T1723" s="103"/>
      <c r="U1723" s="103"/>
      <c r="V1723" s="103"/>
      <c r="W1723" s="103"/>
      <c r="X1723" s="103"/>
      <c r="Y1723" s="103"/>
      <c r="Z1723" s="103"/>
    </row>
    <row r="1724" spans="1:26" s="9" customFormat="1" ht="15.75">
      <c r="A1724" s="40" t="s">
        <v>231</v>
      </c>
      <c r="B1724" s="21">
        <v>0</v>
      </c>
      <c r="C1724" s="21">
        <v>0</v>
      </c>
      <c r="D1724" s="21">
        <v>0</v>
      </c>
      <c r="E1724" s="21">
        <v>0</v>
      </c>
      <c r="F1724" s="21">
        <v>0</v>
      </c>
      <c r="G1724" s="21">
        <v>0</v>
      </c>
      <c r="H1724" s="21">
        <v>0</v>
      </c>
      <c r="I1724" s="21">
        <v>0</v>
      </c>
      <c r="J1724" s="21">
        <v>0</v>
      </c>
      <c r="K1724" s="21">
        <v>0</v>
      </c>
      <c r="L1724" s="21">
        <v>0</v>
      </c>
      <c r="M1724" s="21">
        <v>0</v>
      </c>
      <c r="N1724" s="150">
        <f>SUM(B1724:M1724)</f>
        <v>0</v>
      </c>
      <c r="O1724" s="22">
        <f>IF(N1724=0,0,AVERAGE(B1724:M1724))</f>
        <v>0</v>
      </c>
      <c r="P1724" s="103"/>
      <c r="Q1724" s="103"/>
      <c r="R1724" s="103"/>
      <c r="S1724" s="103"/>
      <c r="T1724" s="103"/>
      <c r="U1724" s="103"/>
      <c r="V1724" s="103"/>
      <c r="W1724" s="103"/>
      <c r="X1724" s="103"/>
      <c r="Y1724" s="103"/>
      <c r="Z1724" s="103"/>
    </row>
    <row r="1725" spans="1:26" s="9" customFormat="1" ht="15.75">
      <c r="A1725" s="37" t="s">
        <v>232</v>
      </c>
      <c r="B1725" s="21">
        <v>0</v>
      </c>
      <c r="C1725" s="21">
        <v>0</v>
      </c>
      <c r="D1725" s="21">
        <v>0</v>
      </c>
      <c r="E1725" s="21">
        <v>0</v>
      </c>
      <c r="F1725" s="21">
        <v>0</v>
      </c>
      <c r="G1725" s="21">
        <v>1</v>
      </c>
      <c r="H1725" s="21">
        <v>1</v>
      </c>
      <c r="I1725" s="21">
        <v>2</v>
      </c>
      <c r="J1725" s="21">
        <v>0</v>
      </c>
      <c r="K1725" s="21">
        <v>2</v>
      </c>
      <c r="L1725" s="21">
        <v>2</v>
      </c>
      <c r="M1725" s="21">
        <v>1</v>
      </c>
      <c r="N1725" s="150">
        <f t="shared" ref="N1725:N1773" si="2770">SUM(B1725:M1725)</f>
        <v>9</v>
      </c>
      <c r="O1725" s="22">
        <f t="shared" ref="O1725:O1773" si="2771">IF(N1725=0,0,AVERAGE(B1725:M1725))</f>
        <v>0.75</v>
      </c>
      <c r="P1725" s="103"/>
      <c r="Q1725" s="103"/>
      <c r="R1725" s="103"/>
      <c r="S1725" s="103"/>
      <c r="T1725" s="103"/>
      <c r="U1725" s="103"/>
      <c r="V1725" s="103"/>
      <c r="W1725" s="103"/>
      <c r="X1725" s="103"/>
      <c r="Y1725" s="103"/>
      <c r="Z1725" s="103"/>
    </row>
    <row r="1726" spans="1:26" s="9" customFormat="1" ht="15.75">
      <c r="A1726" s="37" t="s">
        <v>233</v>
      </c>
      <c r="B1726" s="21">
        <v>0</v>
      </c>
      <c r="C1726" s="21">
        <v>0</v>
      </c>
      <c r="D1726" s="21">
        <v>2</v>
      </c>
      <c r="E1726" s="21">
        <v>4</v>
      </c>
      <c r="F1726" s="21">
        <v>0</v>
      </c>
      <c r="G1726" s="21">
        <v>1</v>
      </c>
      <c r="H1726" s="21">
        <v>1</v>
      </c>
      <c r="I1726" s="21">
        <v>1</v>
      </c>
      <c r="J1726" s="21">
        <v>2</v>
      </c>
      <c r="K1726" s="21">
        <v>0</v>
      </c>
      <c r="L1726" s="21">
        <v>0</v>
      </c>
      <c r="M1726" s="21">
        <v>0</v>
      </c>
      <c r="N1726" s="150">
        <f t="shared" si="2770"/>
        <v>11</v>
      </c>
      <c r="O1726" s="22">
        <f t="shared" si="2771"/>
        <v>0.91666666666666663</v>
      </c>
      <c r="P1726" s="103"/>
      <c r="Q1726" s="103"/>
      <c r="R1726" s="103"/>
      <c r="S1726" s="103"/>
      <c r="T1726" s="103"/>
      <c r="U1726" s="103"/>
      <c r="V1726" s="103"/>
      <c r="W1726" s="103"/>
      <c r="X1726" s="103"/>
      <c r="Y1726" s="103"/>
      <c r="Z1726" s="103"/>
    </row>
    <row r="1727" spans="1:26" s="9" customFormat="1" ht="15.75">
      <c r="A1727" s="37" t="s">
        <v>114</v>
      </c>
      <c r="B1727" s="21">
        <v>16</v>
      </c>
      <c r="C1727" s="21">
        <v>15</v>
      </c>
      <c r="D1727" s="21">
        <v>34</v>
      </c>
      <c r="E1727" s="21">
        <v>9</v>
      </c>
      <c r="F1727" s="21">
        <v>41</v>
      </c>
      <c r="G1727" s="21">
        <v>18</v>
      </c>
      <c r="H1727" s="21">
        <v>23</v>
      </c>
      <c r="I1727" s="21">
        <v>40</v>
      </c>
      <c r="J1727" s="21">
        <v>19</v>
      </c>
      <c r="K1727" s="21">
        <v>15</v>
      </c>
      <c r="L1727" s="21">
        <v>5</v>
      </c>
      <c r="M1727" s="21">
        <v>25</v>
      </c>
      <c r="N1727" s="150">
        <f t="shared" si="2770"/>
        <v>260</v>
      </c>
      <c r="O1727" s="22">
        <f t="shared" si="2771"/>
        <v>21.666666666666668</v>
      </c>
      <c r="P1727" s="103"/>
      <c r="Q1727" s="103"/>
      <c r="R1727" s="103"/>
      <c r="S1727" s="103"/>
      <c r="T1727" s="103"/>
      <c r="U1727" s="103"/>
      <c r="V1727" s="103"/>
      <c r="W1727" s="103"/>
      <c r="X1727" s="103"/>
      <c r="Y1727" s="103"/>
      <c r="Z1727" s="103"/>
    </row>
    <row r="1728" spans="1:26" s="9" customFormat="1" ht="15.75">
      <c r="A1728" s="37" t="s">
        <v>335</v>
      </c>
      <c r="B1728" s="21">
        <v>73</v>
      </c>
      <c r="C1728" s="21">
        <v>81</v>
      </c>
      <c r="D1728" s="21">
        <v>65</v>
      </c>
      <c r="E1728" s="21">
        <v>45</v>
      </c>
      <c r="F1728" s="21">
        <v>80</v>
      </c>
      <c r="G1728" s="21">
        <v>85</v>
      </c>
      <c r="H1728" s="21">
        <v>86</v>
      </c>
      <c r="I1728" s="21">
        <v>63</v>
      </c>
      <c r="J1728" s="21">
        <v>45</v>
      </c>
      <c r="K1728" s="21">
        <v>41</v>
      </c>
      <c r="L1728" s="21">
        <v>71</v>
      </c>
      <c r="M1728" s="21">
        <v>44</v>
      </c>
      <c r="N1728" s="150">
        <f t="shared" si="2770"/>
        <v>779</v>
      </c>
      <c r="O1728" s="22">
        <f t="shared" si="2771"/>
        <v>64.916666666666671</v>
      </c>
      <c r="P1728" s="103"/>
      <c r="Q1728" s="103"/>
      <c r="R1728" s="103"/>
      <c r="S1728" s="103"/>
      <c r="T1728" s="103"/>
      <c r="U1728" s="103"/>
      <c r="V1728" s="103"/>
      <c r="W1728" s="103"/>
      <c r="X1728" s="103"/>
      <c r="Y1728" s="103"/>
      <c r="Z1728" s="103"/>
    </row>
    <row r="1729" spans="1:26" s="9" customFormat="1" ht="15.75">
      <c r="A1729" s="37" t="s">
        <v>643</v>
      </c>
      <c r="B1729" s="21">
        <v>0</v>
      </c>
      <c r="C1729" s="21">
        <v>0</v>
      </c>
      <c r="D1729" s="21">
        <v>0</v>
      </c>
      <c r="E1729" s="21">
        <v>2</v>
      </c>
      <c r="F1729" s="21">
        <v>0</v>
      </c>
      <c r="G1729" s="21">
        <v>0</v>
      </c>
      <c r="H1729" s="21">
        <v>0</v>
      </c>
      <c r="I1729" s="21">
        <v>0</v>
      </c>
      <c r="J1729" s="21">
        <v>0</v>
      </c>
      <c r="K1729" s="21">
        <v>0</v>
      </c>
      <c r="L1729" s="21">
        <v>0</v>
      </c>
      <c r="M1729" s="21">
        <v>0</v>
      </c>
      <c r="N1729" s="150">
        <f t="shared" si="2770"/>
        <v>2</v>
      </c>
      <c r="O1729" s="22">
        <f t="shared" si="2771"/>
        <v>0.16666666666666666</v>
      </c>
      <c r="P1729" s="103"/>
      <c r="Q1729" s="103"/>
      <c r="R1729" s="103"/>
      <c r="S1729" s="103"/>
      <c r="T1729" s="103"/>
      <c r="U1729" s="103"/>
      <c r="V1729" s="103"/>
      <c r="W1729" s="103"/>
      <c r="X1729" s="103"/>
      <c r="Y1729" s="103"/>
      <c r="Z1729" s="103"/>
    </row>
    <row r="1730" spans="1:26" s="9" customFormat="1" ht="15.75">
      <c r="A1730" s="37" t="s">
        <v>122</v>
      </c>
      <c r="B1730" s="21">
        <v>0</v>
      </c>
      <c r="C1730" s="21">
        <v>0</v>
      </c>
      <c r="D1730" s="21">
        <v>0</v>
      </c>
      <c r="E1730" s="21">
        <v>0</v>
      </c>
      <c r="F1730" s="21">
        <v>0</v>
      </c>
      <c r="G1730" s="21">
        <v>5</v>
      </c>
      <c r="H1730" s="21">
        <v>0</v>
      </c>
      <c r="I1730" s="21">
        <v>0</v>
      </c>
      <c r="J1730" s="21">
        <v>0</v>
      </c>
      <c r="K1730" s="21">
        <v>0</v>
      </c>
      <c r="L1730" s="21">
        <v>0</v>
      </c>
      <c r="M1730" s="21">
        <v>0</v>
      </c>
      <c r="N1730" s="150">
        <f t="shared" si="2770"/>
        <v>5</v>
      </c>
      <c r="O1730" s="22">
        <f t="shared" si="2771"/>
        <v>0.41666666666666669</v>
      </c>
      <c r="P1730" s="103"/>
      <c r="Q1730" s="103"/>
      <c r="R1730" s="103"/>
      <c r="S1730" s="103"/>
      <c r="T1730" s="103"/>
      <c r="U1730" s="103"/>
      <c r="V1730" s="103"/>
      <c r="W1730" s="103"/>
      <c r="X1730" s="103"/>
      <c r="Y1730" s="103"/>
      <c r="Z1730" s="103"/>
    </row>
    <row r="1731" spans="1:26" s="9" customFormat="1" ht="15.75">
      <c r="A1731" s="37" t="s">
        <v>234</v>
      </c>
      <c r="B1731" s="21">
        <v>0</v>
      </c>
      <c r="C1731" s="21">
        <v>0</v>
      </c>
      <c r="D1731" s="21">
        <v>0</v>
      </c>
      <c r="E1731" s="21">
        <v>0</v>
      </c>
      <c r="F1731" s="21">
        <v>0</v>
      </c>
      <c r="G1731" s="21">
        <v>0</v>
      </c>
      <c r="H1731" s="21">
        <v>1</v>
      </c>
      <c r="I1731" s="21">
        <v>0</v>
      </c>
      <c r="J1731" s="21">
        <v>0</v>
      </c>
      <c r="K1731" s="21">
        <v>0</v>
      </c>
      <c r="L1731" s="21">
        <v>1</v>
      </c>
      <c r="M1731" s="21">
        <v>0</v>
      </c>
      <c r="N1731" s="150">
        <f t="shared" si="2770"/>
        <v>2</v>
      </c>
      <c r="O1731" s="22">
        <f t="shared" si="2771"/>
        <v>0.16666666666666666</v>
      </c>
      <c r="P1731" s="103"/>
      <c r="Q1731" s="103"/>
      <c r="R1731" s="103"/>
      <c r="S1731" s="103"/>
      <c r="T1731" s="103"/>
      <c r="U1731" s="103"/>
      <c r="V1731" s="103"/>
      <c r="W1731" s="103"/>
      <c r="X1731" s="103"/>
      <c r="Y1731" s="103"/>
      <c r="Z1731" s="103"/>
    </row>
    <row r="1732" spans="1:26" s="9" customFormat="1" ht="15.75">
      <c r="A1732" s="37" t="s">
        <v>235</v>
      </c>
      <c r="B1732" s="21">
        <v>0</v>
      </c>
      <c r="C1732" s="21">
        <v>0</v>
      </c>
      <c r="D1732" s="21">
        <v>0</v>
      </c>
      <c r="E1732" s="21">
        <v>0</v>
      </c>
      <c r="F1732" s="21">
        <v>0</v>
      </c>
      <c r="G1732" s="21">
        <v>0</v>
      </c>
      <c r="H1732" s="21">
        <v>0</v>
      </c>
      <c r="I1732" s="21">
        <v>0</v>
      </c>
      <c r="J1732" s="21">
        <v>0</v>
      </c>
      <c r="K1732" s="21">
        <v>0</v>
      </c>
      <c r="L1732" s="21">
        <v>0</v>
      </c>
      <c r="M1732" s="21">
        <v>0</v>
      </c>
      <c r="N1732" s="150">
        <f t="shared" si="2770"/>
        <v>0</v>
      </c>
      <c r="O1732" s="22">
        <f t="shared" si="2771"/>
        <v>0</v>
      </c>
      <c r="P1732" s="103"/>
      <c r="Q1732" s="103"/>
      <c r="R1732" s="103"/>
      <c r="S1732" s="103"/>
      <c r="T1732" s="103"/>
      <c r="U1732" s="103"/>
      <c r="V1732" s="103"/>
      <c r="W1732" s="103"/>
      <c r="X1732" s="103"/>
      <c r="Y1732" s="103"/>
      <c r="Z1732" s="103"/>
    </row>
    <row r="1733" spans="1:26" s="9" customFormat="1" ht="15.75">
      <c r="A1733" s="37" t="s">
        <v>119</v>
      </c>
      <c r="B1733" s="21">
        <v>4</v>
      </c>
      <c r="C1733" s="21">
        <v>10</v>
      </c>
      <c r="D1733" s="21">
        <v>21</v>
      </c>
      <c r="E1733" s="21">
        <v>5</v>
      </c>
      <c r="F1733" s="21">
        <v>13</v>
      </c>
      <c r="G1733" s="21">
        <v>25</v>
      </c>
      <c r="H1733" s="21">
        <v>28</v>
      </c>
      <c r="I1733" s="21">
        <v>25</v>
      </c>
      <c r="J1733" s="21">
        <v>14</v>
      </c>
      <c r="K1733" s="21">
        <v>27</v>
      </c>
      <c r="L1733" s="21">
        <v>30</v>
      </c>
      <c r="M1733" s="21">
        <v>11</v>
      </c>
      <c r="N1733" s="150">
        <f t="shared" si="2770"/>
        <v>213</v>
      </c>
      <c r="O1733" s="22">
        <f t="shared" si="2771"/>
        <v>17.75</v>
      </c>
      <c r="P1733" s="103"/>
      <c r="Q1733" s="103"/>
      <c r="R1733" s="103"/>
      <c r="S1733" s="103"/>
      <c r="T1733" s="103"/>
      <c r="U1733" s="103"/>
      <c r="V1733" s="103"/>
      <c r="W1733" s="103"/>
      <c r="X1733" s="103"/>
      <c r="Y1733" s="103"/>
      <c r="Z1733" s="103"/>
    </row>
    <row r="1734" spans="1:26" s="9" customFormat="1" ht="15.75">
      <c r="A1734" s="37" t="s">
        <v>18</v>
      </c>
      <c r="B1734" s="21">
        <v>51</v>
      </c>
      <c r="C1734" s="21">
        <v>54</v>
      </c>
      <c r="D1734" s="21">
        <v>32</v>
      </c>
      <c r="E1734" s="21">
        <v>30</v>
      </c>
      <c r="F1734" s="21">
        <v>24</v>
      </c>
      <c r="G1734" s="21">
        <v>65</v>
      </c>
      <c r="H1734" s="21">
        <v>44</v>
      </c>
      <c r="I1734" s="21">
        <v>34</v>
      </c>
      <c r="J1734" s="21">
        <v>13</v>
      </c>
      <c r="K1734" s="21">
        <v>19</v>
      </c>
      <c r="L1734" s="21">
        <v>9</v>
      </c>
      <c r="M1734" s="21">
        <v>22</v>
      </c>
      <c r="N1734" s="150">
        <f t="shared" si="2770"/>
        <v>397</v>
      </c>
      <c r="O1734" s="22">
        <f t="shared" si="2771"/>
        <v>33.083333333333336</v>
      </c>
      <c r="P1734" s="103"/>
      <c r="Q1734" s="103"/>
      <c r="R1734" s="103"/>
      <c r="S1734" s="103"/>
      <c r="T1734" s="103"/>
      <c r="U1734" s="103"/>
      <c r="V1734" s="103"/>
      <c r="W1734" s="103"/>
      <c r="X1734" s="103"/>
      <c r="Y1734" s="103"/>
      <c r="Z1734" s="103"/>
    </row>
    <row r="1735" spans="1:26" s="9" customFormat="1" ht="15.75">
      <c r="A1735" s="37" t="s">
        <v>19</v>
      </c>
      <c r="B1735" s="21">
        <v>64</v>
      </c>
      <c r="C1735" s="21">
        <v>84</v>
      </c>
      <c r="D1735" s="21">
        <v>58</v>
      </c>
      <c r="E1735" s="21">
        <v>30</v>
      </c>
      <c r="F1735" s="21">
        <v>44</v>
      </c>
      <c r="G1735" s="21">
        <v>84</v>
      </c>
      <c r="H1735" s="21">
        <v>82</v>
      </c>
      <c r="I1735" s="21">
        <v>48</v>
      </c>
      <c r="J1735" s="21">
        <v>51</v>
      </c>
      <c r="K1735" s="21">
        <v>83</v>
      </c>
      <c r="L1735" s="21">
        <v>19</v>
      </c>
      <c r="M1735" s="21">
        <v>16</v>
      </c>
      <c r="N1735" s="150">
        <f t="shared" si="2770"/>
        <v>663</v>
      </c>
      <c r="O1735" s="22">
        <f t="shared" si="2771"/>
        <v>55.25</v>
      </c>
      <c r="P1735" s="103"/>
      <c r="Q1735" s="103"/>
      <c r="R1735" s="103"/>
      <c r="S1735" s="103"/>
      <c r="T1735" s="103"/>
      <c r="U1735" s="103"/>
      <c r="V1735" s="103"/>
      <c r="W1735" s="103"/>
      <c r="X1735" s="103"/>
      <c r="Y1735" s="103"/>
      <c r="Z1735" s="103"/>
    </row>
    <row r="1736" spans="1:26" s="9" customFormat="1" ht="15.75">
      <c r="A1736" s="37" t="s">
        <v>237</v>
      </c>
      <c r="B1736" s="21">
        <v>4</v>
      </c>
      <c r="C1736" s="21">
        <v>5</v>
      </c>
      <c r="D1736" s="21">
        <v>4</v>
      </c>
      <c r="E1736" s="21">
        <v>0</v>
      </c>
      <c r="F1736" s="21">
        <v>19</v>
      </c>
      <c r="G1736" s="21">
        <v>17</v>
      </c>
      <c r="H1736" s="21">
        <v>39</v>
      </c>
      <c r="I1736" s="21">
        <v>7</v>
      </c>
      <c r="J1736" s="21">
        <v>6</v>
      </c>
      <c r="K1736" s="21">
        <v>0</v>
      </c>
      <c r="L1736" s="21">
        <v>8</v>
      </c>
      <c r="M1736" s="21">
        <v>2</v>
      </c>
      <c r="N1736" s="150">
        <f t="shared" si="2770"/>
        <v>111</v>
      </c>
      <c r="O1736" s="22">
        <f t="shared" si="2771"/>
        <v>9.25</v>
      </c>
      <c r="P1736" s="103"/>
      <c r="Q1736" s="103"/>
      <c r="R1736" s="103"/>
      <c r="S1736" s="103"/>
      <c r="T1736" s="103"/>
      <c r="U1736" s="103"/>
      <c r="V1736" s="103"/>
      <c r="W1736" s="103"/>
      <c r="X1736" s="103"/>
      <c r="Y1736" s="103"/>
      <c r="Z1736" s="103"/>
    </row>
    <row r="1737" spans="1:26" s="9" customFormat="1" ht="15.75">
      <c r="A1737" s="37" t="s">
        <v>236</v>
      </c>
      <c r="B1737" s="21">
        <v>4</v>
      </c>
      <c r="C1737" s="21">
        <v>3</v>
      </c>
      <c r="D1737" s="21">
        <v>0</v>
      </c>
      <c r="E1737" s="21">
        <v>0</v>
      </c>
      <c r="F1737" s="21">
        <v>0</v>
      </c>
      <c r="G1737" s="21">
        <v>5</v>
      </c>
      <c r="H1737" s="21">
        <v>1</v>
      </c>
      <c r="I1737" s="21">
        <v>0</v>
      </c>
      <c r="J1737" s="21">
        <v>0</v>
      </c>
      <c r="K1737" s="21">
        <v>0</v>
      </c>
      <c r="L1737" s="21">
        <v>0</v>
      </c>
      <c r="M1737" s="21">
        <v>0</v>
      </c>
      <c r="N1737" s="150">
        <f t="shared" si="2770"/>
        <v>13</v>
      </c>
      <c r="O1737" s="22">
        <f t="shared" si="2771"/>
        <v>1.0833333333333333</v>
      </c>
      <c r="P1737" s="103"/>
      <c r="Q1737" s="103"/>
      <c r="R1737" s="103"/>
      <c r="S1737" s="103"/>
      <c r="T1737" s="103"/>
      <c r="U1737" s="103"/>
      <c r="V1737" s="103"/>
      <c r="W1737" s="103"/>
      <c r="X1737" s="103"/>
      <c r="Y1737" s="103"/>
      <c r="Z1737" s="103"/>
    </row>
    <row r="1738" spans="1:26" s="9" customFormat="1" ht="15.75">
      <c r="A1738" s="37" t="s">
        <v>592</v>
      </c>
      <c r="B1738" s="21">
        <v>0</v>
      </c>
      <c r="C1738" s="21">
        <v>1</v>
      </c>
      <c r="D1738" s="21">
        <v>0</v>
      </c>
      <c r="E1738" s="21">
        <v>0</v>
      </c>
      <c r="F1738" s="21">
        <v>0</v>
      </c>
      <c r="G1738" s="21">
        <v>0</v>
      </c>
      <c r="H1738" s="21">
        <v>0</v>
      </c>
      <c r="I1738" s="21">
        <v>0</v>
      </c>
      <c r="J1738" s="21">
        <v>2</v>
      </c>
      <c r="K1738" s="21">
        <v>1</v>
      </c>
      <c r="L1738" s="21">
        <v>0</v>
      </c>
      <c r="M1738" s="21">
        <v>0</v>
      </c>
      <c r="N1738" s="150">
        <f t="shared" si="2770"/>
        <v>4</v>
      </c>
      <c r="O1738" s="22">
        <f t="shared" si="2771"/>
        <v>0.33333333333333331</v>
      </c>
      <c r="P1738" s="103"/>
      <c r="Q1738" s="103"/>
      <c r="R1738" s="103"/>
      <c r="S1738" s="103"/>
      <c r="T1738" s="103"/>
      <c r="U1738" s="103"/>
      <c r="V1738" s="103"/>
      <c r="W1738" s="103"/>
      <c r="X1738" s="103"/>
      <c r="Y1738" s="103"/>
      <c r="Z1738" s="103"/>
    </row>
    <row r="1739" spans="1:26" s="9" customFormat="1" ht="15.75">
      <c r="A1739" s="37" t="s">
        <v>238</v>
      </c>
      <c r="B1739" s="21">
        <v>0</v>
      </c>
      <c r="C1739" s="21">
        <v>3</v>
      </c>
      <c r="D1739" s="21">
        <v>0</v>
      </c>
      <c r="E1739" s="21">
        <v>0</v>
      </c>
      <c r="F1739" s="21">
        <v>1</v>
      </c>
      <c r="G1739" s="21">
        <v>0</v>
      </c>
      <c r="H1739" s="21">
        <v>0</v>
      </c>
      <c r="I1739" s="21">
        <v>0</v>
      </c>
      <c r="J1739" s="21">
        <v>1</v>
      </c>
      <c r="K1739" s="21">
        <v>0</v>
      </c>
      <c r="L1739" s="21">
        <v>4</v>
      </c>
      <c r="M1739" s="21">
        <v>2</v>
      </c>
      <c r="N1739" s="150">
        <f t="shared" si="2770"/>
        <v>11</v>
      </c>
      <c r="O1739" s="22">
        <f t="shared" si="2771"/>
        <v>0.91666666666666663</v>
      </c>
      <c r="P1739" s="103"/>
      <c r="Q1739" s="103"/>
      <c r="R1739" s="103"/>
      <c r="S1739" s="103"/>
      <c r="T1739" s="103"/>
      <c r="U1739" s="103"/>
      <c r="V1739" s="103"/>
      <c r="W1739" s="103"/>
      <c r="X1739" s="103"/>
      <c r="Y1739" s="103"/>
      <c r="Z1739" s="103"/>
    </row>
    <row r="1740" spans="1:26" s="9" customFormat="1" ht="15.75">
      <c r="A1740" s="37" t="s">
        <v>828</v>
      </c>
      <c r="B1740" s="21">
        <v>0</v>
      </c>
      <c r="C1740" s="21">
        <v>0</v>
      </c>
      <c r="D1740" s="21">
        <v>0</v>
      </c>
      <c r="E1740" s="21">
        <v>0</v>
      </c>
      <c r="F1740" s="21">
        <v>0</v>
      </c>
      <c r="G1740" s="21">
        <v>0</v>
      </c>
      <c r="H1740" s="21">
        <v>0</v>
      </c>
      <c r="I1740" s="21">
        <v>0</v>
      </c>
      <c r="J1740" s="21">
        <v>0</v>
      </c>
      <c r="K1740" s="21">
        <v>0</v>
      </c>
      <c r="L1740" s="21">
        <v>0</v>
      </c>
      <c r="M1740" s="21">
        <v>0</v>
      </c>
      <c r="N1740" s="150">
        <f t="shared" ref="N1740:N1742" si="2772">SUM(B1740:M1740)</f>
        <v>0</v>
      </c>
      <c r="O1740" s="22">
        <f t="shared" ref="O1740:O1742" si="2773">IF(N1740=0,0,AVERAGE(B1740:M1740))</f>
        <v>0</v>
      </c>
      <c r="P1740" s="103"/>
      <c r="Q1740" s="103"/>
      <c r="R1740" s="103"/>
      <c r="S1740" s="103"/>
      <c r="T1740" s="103"/>
      <c r="U1740" s="103"/>
      <c r="V1740" s="103"/>
      <c r="W1740" s="103"/>
      <c r="X1740" s="103"/>
      <c r="Y1740" s="103"/>
      <c r="Z1740" s="103"/>
    </row>
    <row r="1741" spans="1:26" s="9" customFormat="1" ht="15.75">
      <c r="A1741" s="37" t="s">
        <v>827</v>
      </c>
      <c r="B1741" s="21">
        <v>5</v>
      </c>
      <c r="C1741" s="21">
        <v>3</v>
      </c>
      <c r="D1741" s="21">
        <v>1</v>
      </c>
      <c r="E1741" s="21">
        <v>0</v>
      </c>
      <c r="F1741" s="21">
        <v>0</v>
      </c>
      <c r="G1741" s="21">
        <v>6</v>
      </c>
      <c r="H1741" s="21">
        <v>3</v>
      </c>
      <c r="I1741" s="21">
        <v>2</v>
      </c>
      <c r="J1741" s="21">
        <v>0</v>
      </c>
      <c r="K1741" s="21">
        <v>2</v>
      </c>
      <c r="L1741" s="21">
        <v>3</v>
      </c>
      <c r="M1741" s="21">
        <v>1</v>
      </c>
      <c r="N1741" s="150">
        <f t="shared" si="2772"/>
        <v>26</v>
      </c>
      <c r="O1741" s="22">
        <f t="shared" si="2773"/>
        <v>2.1666666666666665</v>
      </c>
      <c r="P1741" s="103"/>
      <c r="Q1741" s="103"/>
      <c r="R1741" s="103"/>
      <c r="S1741" s="103"/>
      <c r="T1741" s="103"/>
      <c r="U1741" s="103"/>
      <c r="V1741" s="103"/>
      <c r="W1741" s="103"/>
      <c r="X1741" s="103"/>
      <c r="Y1741" s="103"/>
      <c r="Z1741" s="103"/>
    </row>
    <row r="1742" spans="1:26" s="9" customFormat="1" ht="15.75">
      <c r="A1742" s="37" t="s">
        <v>829</v>
      </c>
      <c r="B1742" s="21">
        <v>0</v>
      </c>
      <c r="C1742" s="21">
        <v>0</v>
      </c>
      <c r="D1742" s="21">
        <v>1</v>
      </c>
      <c r="E1742" s="21">
        <v>0</v>
      </c>
      <c r="F1742" s="21">
        <v>0</v>
      </c>
      <c r="G1742" s="21">
        <v>5</v>
      </c>
      <c r="H1742" s="21">
        <v>1</v>
      </c>
      <c r="I1742" s="21">
        <v>0</v>
      </c>
      <c r="J1742" s="21">
        <v>0</v>
      </c>
      <c r="K1742" s="21">
        <v>0</v>
      </c>
      <c r="L1742" s="21">
        <v>0</v>
      </c>
      <c r="M1742" s="21">
        <v>0</v>
      </c>
      <c r="N1742" s="150">
        <f t="shared" si="2772"/>
        <v>7</v>
      </c>
      <c r="O1742" s="22">
        <f t="shared" si="2773"/>
        <v>0.58333333333333337</v>
      </c>
      <c r="P1742" s="103"/>
      <c r="Q1742" s="103"/>
      <c r="R1742" s="103"/>
      <c r="S1742" s="103"/>
      <c r="T1742" s="103"/>
      <c r="U1742" s="103"/>
      <c r="V1742" s="103"/>
      <c r="W1742" s="103"/>
      <c r="X1742" s="103"/>
      <c r="Y1742" s="103"/>
      <c r="Z1742" s="103"/>
    </row>
    <row r="1743" spans="1:26" s="9" customFormat="1" ht="15.75">
      <c r="A1743" s="37" t="s">
        <v>30</v>
      </c>
      <c r="B1743" s="21">
        <v>10</v>
      </c>
      <c r="C1743" s="21">
        <v>29</v>
      </c>
      <c r="D1743" s="21">
        <v>10</v>
      </c>
      <c r="E1743" s="21">
        <v>9</v>
      </c>
      <c r="F1743" s="21">
        <v>14</v>
      </c>
      <c r="G1743" s="21">
        <v>17</v>
      </c>
      <c r="H1743" s="21">
        <v>6</v>
      </c>
      <c r="I1743" s="21">
        <v>26</v>
      </c>
      <c r="J1743" s="21">
        <v>6</v>
      </c>
      <c r="K1743" s="21">
        <v>15</v>
      </c>
      <c r="L1743" s="21">
        <v>9</v>
      </c>
      <c r="M1743" s="21">
        <v>1</v>
      </c>
      <c r="N1743" s="150">
        <f t="shared" si="2770"/>
        <v>152</v>
      </c>
      <c r="O1743" s="22">
        <f t="shared" si="2771"/>
        <v>12.666666666666666</v>
      </c>
      <c r="P1743" s="103"/>
      <c r="Q1743" s="103"/>
      <c r="R1743" s="103"/>
      <c r="S1743" s="103"/>
      <c r="T1743" s="103"/>
      <c r="U1743" s="103"/>
      <c r="V1743" s="103"/>
      <c r="W1743" s="103"/>
      <c r="X1743" s="103"/>
      <c r="Y1743" s="103"/>
      <c r="Z1743" s="103"/>
    </row>
    <row r="1744" spans="1:26" s="9" customFormat="1" ht="15.75">
      <c r="A1744" s="37" t="s">
        <v>239</v>
      </c>
      <c r="B1744" s="21">
        <v>0</v>
      </c>
      <c r="C1744" s="21">
        <v>0</v>
      </c>
      <c r="D1744" s="21">
        <v>0</v>
      </c>
      <c r="E1744" s="21">
        <v>0</v>
      </c>
      <c r="F1744" s="21">
        <v>8</v>
      </c>
      <c r="G1744" s="21">
        <v>14</v>
      </c>
      <c r="H1744" s="21">
        <v>12</v>
      </c>
      <c r="I1744" s="21">
        <v>4</v>
      </c>
      <c r="J1744" s="21">
        <v>11</v>
      </c>
      <c r="K1744" s="21">
        <v>11</v>
      </c>
      <c r="L1744" s="21">
        <v>2</v>
      </c>
      <c r="M1744" s="21">
        <v>1</v>
      </c>
      <c r="N1744" s="150">
        <f t="shared" si="2770"/>
        <v>63</v>
      </c>
      <c r="O1744" s="22">
        <f t="shared" si="2771"/>
        <v>5.25</v>
      </c>
      <c r="P1744" s="103"/>
      <c r="Q1744" s="103"/>
      <c r="R1744" s="103"/>
      <c r="S1744" s="103"/>
      <c r="T1744" s="103"/>
      <c r="U1744" s="103"/>
      <c r="V1744" s="103"/>
      <c r="W1744" s="103"/>
      <c r="X1744" s="103"/>
      <c r="Y1744" s="103"/>
      <c r="Z1744" s="103"/>
    </row>
    <row r="1745" spans="1:26" s="9" customFormat="1" ht="15.75">
      <c r="A1745" s="37" t="s">
        <v>404</v>
      </c>
      <c r="B1745" s="21">
        <v>0</v>
      </c>
      <c r="C1745" s="21">
        <v>0</v>
      </c>
      <c r="D1745" s="21">
        <v>0</v>
      </c>
      <c r="E1745" s="21">
        <v>0</v>
      </c>
      <c r="F1745" s="21">
        <v>0</v>
      </c>
      <c r="G1745" s="21">
        <v>0</v>
      </c>
      <c r="H1745" s="21">
        <v>3</v>
      </c>
      <c r="I1745" s="21">
        <v>0</v>
      </c>
      <c r="J1745" s="21">
        <v>0</v>
      </c>
      <c r="K1745" s="21">
        <v>0</v>
      </c>
      <c r="L1745" s="21">
        <v>0</v>
      </c>
      <c r="M1745" s="21">
        <v>0</v>
      </c>
      <c r="N1745" s="150">
        <f t="shared" si="2770"/>
        <v>3</v>
      </c>
      <c r="O1745" s="22">
        <f t="shared" si="2771"/>
        <v>0.25</v>
      </c>
      <c r="P1745" s="103"/>
      <c r="Q1745" s="103"/>
      <c r="R1745" s="103"/>
      <c r="S1745" s="103"/>
      <c r="T1745" s="103"/>
      <c r="U1745" s="103"/>
      <c r="V1745" s="103"/>
      <c r="W1745" s="103"/>
      <c r="X1745" s="103"/>
      <c r="Y1745" s="103"/>
      <c r="Z1745" s="103"/>
    </row>
    <row r="1746" spans="1:26" s="9" customFormat="1" ht="15.75">
      <c r="A1746" s="37" t="s">
        <v>249</v>
      </c>
      <c r="B1746" s="21">
        <v>1</v>
      </c>
      <c r="C1746" s="21">
        <v>3</v>
      </c>
      <c r="D1746" s="21">
        <v>2</v>
      </c>
      <c r="E1746" s="21">
        <v>0</v>
      </c>
      <c r="F1746" s="21">
        <v>0</v>
      </c>
      <c r="G1746" s="21">
        <v>3</v>
      </c>
      <c r="H1746" s="21">
        <v>1</v>
      </c>
      <c r="I1746" s="21">
        <v>1</v>
      </c>
      <c r="J1746" s="21">
        <v>0</v>
      </c>
      <c r="K1746" s="21">
        <v>3</v>
      </c>
      <c r="L1746" s="21">
        <v>0</v>
      </c>
      <c r="M1746" s="21">
        <v>1</v>
      </c>
      <c r="N1746" s="150">
        <f t="shared" si="2770"/>
        <v>15</v>
      </c>
      <c r="O1746" s="22">
        <f t="shared" si="2771"/>
        <v>1.25</v>
      </c>
      <c r="P1746" s="103"/>
      <c r="Q1746" s="103"/>
      <c r="R1746" s="103"/>
      <c r="S1746" s="103"/>
      <c r="T1746" s="103"/>
      <c r="U1746" s="103"/>
      <c r="V1746" s="103"/>
      <c r="W1746" s="103"/>
      <c r="X1746" s="103"/>
      <c r="Y1746" s="103"/>
      <c r="Z1746" s="103"/>
    </row>
    <row r="1747" spans="1:26" s="9" customFormat="1" ht="15.75">
      <c r="A1747" s="37" t="s">
        <v>240</v>
      </c>
      <c r="B1747" s="21">
        <v>3</v>
      </c>
      <c r="C1747" s="21">
        <v>15</v>
      </c>
      <c r="D1747" s="21">
        <v>10</v>
      </c>
      <c r="E1747" s="21">
        <v>12</v>
      </c>
      <c r="F1747" s="21">
        <v>7</v>
      </c>
      <c r="G1747" s="21">
        <v>3</v>
      </c>
      <c r="H1747" s="21">
        <f>2+8</f>
        <v>10</v>
      </c>
      <c r="I1747" s="21">
        <f>3+3</f>
        <v>6</v>
      </c>
      <c r="J1747" s="21">
        <v>1</v>
      </c>
      <c r="K1747" s="21">
        <v>6</v>
      </c>
      <c r="L1747" s="21">
        <v>3</v>
      </c>
      <c r="M1747" s="21">
        <v>1</v>
      </c>
      <c r="N1747" s="150">
        <f t="shared" si="2770"/>
        <v>77</v>
      </c>
      <c r="O1747" s="22">
        <f t="shared" si="2771"/>
        <v>6.416666666666667</v>
      </c>
      <c r="P1747" s="103"/>
      <c r="Q1747" s="103"/>
      <c r="R1747" s="103"/>
      <c r="S1747" s="103"/>
      <c r="T1747" s="103"/>
      <c r="U1747" s="103"/>
      <c r="V1747" s="103"/>
      <c r="W1747" s="103"/>
      <c r="X1747" s="103"/>
      <c r="Y1747" s="103"/>
      <c r="Z1747" s="103"/>
    </row>
    <row r="1748" spans="1:26" s="9" customFormat="1" ht="15.75">
      <c r="A1748" s="37" t="s">
        <v>241</v>
      </c>
      <c r="B1748" s="21">
        <v>2</v>
      </c>
      <c r="C1748" s="21">
        <v>2</v>
      </c>
      <c r="D1748" s="21">
        <v>0</v>
      </c>
      <c r="E1748" s="21">
        <v>0</v>
      </c>
      <c r="F1748" s="21">
        <v>6</v>
      </c>
      <c r="G1748" s="21">
        <v>8</v>
      </c>
      <c r="H1748" s="21">
        <v>0</v>
      </c>
      <c r="I1748" s="21">
        <v>2</v>
      </c>
      <c r="J1748" s="21">
        <v>0</v>
      </c>
      <c r="K1748" s="21">
        <v>1</v>
      </c>
      <c r="L1748" s="21">
        <v>0</v>
      </c>
      <c r="M1748" s="21">
        <v>0</v>
      </c>
      <c r="N1748" s="150">
        <f t="shared" si="2770"/>
        <v>21</v>
      </c>
      <c r="O1748" s="22">
        <f t="shared" si="2771"/>
        <v>1.75</v>
      </c>
      <c r="P1748" s="103"/>
      <c r="Q1748" s="103"/>
      <c r="R1748" s="103"/>
      <c r="S1748" s="103"/>
      <c r="T1748" s="103"/>
      <c r="U1748" s="103"/>
      <c r="V1748" s="103"/>
      <c r="W1748" s="103"/>
      <c r="X1748" s="103"/>
      <c r="Y1748" s="103"/>
      <c r="Z1748" s="103"/>
    </row>
    <row r="1749" spans="1:26" s="9" customFormat="1" ht="15.75">
      <c r="A1749" s="37" t="s">
        <v>403</v>
      </c>
      <c r="B1749" s="21">
        <v>0</v>
      </c>
      <c r="C1749" s="21">
        <v>0</v>
      </c>
      <c r="D1749" s="21">
        <v>0</v>
      </c>
      <c r="E1749" s="21">
        <v>0</v>
      </c>
      <c r="F1749" s="21">
        <v>0</v>
      </c>
      <c r="G1749" s="21">
        <v>2</v>
      </c>
      <c r="H1749" s="21">
        <v>0</v>
      </c>
      <c r="I1749" s="21">
        <v>0</v>
      </c>
      <c r="J1749" s="21">
        <v>0</v>
      </c>
      <c r="K1749" s="21">
        <v>0</v>
      </c>
      <c r="L1749" s="21">
        <v>0</v>
      </c>
      <c r="M1749" s="21">
        <v>0</v>
      </c>
      <c r="N1749" s="150">
        <f t="shared" si="2770"/>
        <v>2</v>
      </c>
      <c r="O1749" s="22">
        <f t="shared" si="2771"/>
        <v>0.16666666666666666</v>
      </c>
      <c r="P1749" s="103"/>
      <c r="Q1749" s="103"/>
      <c r="R1749" s="103"/>
      <c r="S1749" s="103"/>
      <c r="T1749" s="103"/>
      <c r="U1749" s="103"/>
      <c r="V1749" s="103"/>
      <c r="W1749" s="103"/>
      <c r="X1749" s="103"/>
      <c r="Y1749" s="103"/>
      <c r="Z1749" s="103"/>
    </row>
    <row r="1750" spans="1:26" s="9" customFormat="1" ht="15.75">
      <c r="A1750" s="37" t="s">
        <v>337</v>
      </c>
      <c r="B1750" s="21">
        <v>1</v>
      </c>
      <c r="C1750" s="21">
        <v>1</v>
      </c>
      <c r="D1750" s="21">
        <v>2</v>
      </c>
      <c r="E1750" s="21">
        <v>4</v>
      </c>
      <c r="F1750" s="21">
        <v>1</v>
      </c>
      <c r="G1750" s="21">
        <f>2+2</f>
        <v>4</v>
      </c>
      <c r="H1750" s="21">
        <v>0</v>
      </c>
      <c r="I1750" s="21">
        <v>1</v>
      </c>
      <c r="J1750" s="21">
        <v>0</v>
      </c>
      <c r="K1750" s="21">
        <v>0</v>
      </c>
      <c r="L1750" s="21">
        <v>0</v>
      </c>
      <c r="M1750" s="21">
        <v>0</v>
      </c>
      <c r="N1750" s="150">
        <f t="shared" si="2770"/>
        <v>14</v>
      </c>
      <c r="O1750" s="22">
        <f t="shared" si="2771"/>
        <v>1.1666666666666667</v>
      </c>
      <c r="P1750" s="103"/>
      <c r="Q1750" s="103"/>
      <c r="R1750" s="103"/>
      <c r="S1750" s="103"/>
      <c r="T1750" s="103"/>
      <c r="U1750" s="103"/>
      <c r="V1750" s="103"/>
      <c r="W1750" s="103"/>
      <c r="X1750" s="103"/>
      <c r="Y1750" s="103"/>
      <c r="Z1750" s="103"/>
    </row>
    <row r="1751" spans="1:26" s="9" customFormat="1" ht="15.75">
      <c r="A1751" s="37" t="s">
        <v>242</v>
      </c>
      <c r="B1751" s="21">
        <v>0</v>
      </c>
      <c r="C1751" s="21">
        <v>0</v>
      </c>
      <c r="D1751" s="21">
        <v>0</v>
      </c>
      <c r="E1751" s="21">
        <v>1</v>
      </c>
      <c r="F1751" s="21">
        <v>0</v>
      </c>
      <c r="G1751" s="21">
        <v>0</v>
      </c>
      <c r="H1751" s="21">
        <v>0</v>
      </c>
      <c r="I1751" s="21">
        <v>0</v>
      </c>
      <c r="J1751" s="21">
        <v>0</v>
      </c>
      <c r="K1751" s="21">
        <v>0</v>
      </c>
      <c r="L1751" s="21">
        <v>0</v>
      </c>
      <c r="M1751" s="21">
        <v>0</v>
      </c>
      <c r="N1751" s="150">
        <f t="shared" si="2770"/>
        <v>1</v>
      </c>
      <c r="O1751" s="22">
        <f t="shared" si="2771"/>
        <v>8.3333333333333329E-2</v>
      </c>
      <c r="P1751" s="103"/>
      <c r="Q1751" s="103"/>
      <c r="R1751" s="103"/>
      <c r="S1751" s="103"/>
      <c r="T1751" s="103"/>
      <c r="U1751" s="103"/>
      <c r="V1751" s="103"/>
      <c r="W1751" s="103"/>
      <c r="X1751" s="103"/>
      <c r="Y1751" s="103"/>
      <c r="Z1751" s="103"/>
    </row>
    <row r="1752" spans="1:26" s="9" customFormat="1" ht="15.75">
      <c r="A1752" s="37" t="s">
        <v>190</v>
      </c>
      <c r="B1752" s="21">
        <v>7</v>
      </c>
      <c r="C1752" s="21">
        <v>11</v>
      </c>
      <c r="D1752" s="21">
        <v>6</v>
      </c>
      <c r="E1752" s="21">
        <v>3</v>
      </c>
      <c r="F1752" s="21">
        <v>5</v>
      </c>
      <c r="G1752" s="21">
        <v>7</v>
      </c>
      <c r="H1752" s="21">
        <v>1</v>
      </c>
      <c r="I1752" s="21">
        <v>1</v>
      </c>
      <c r="J1752" s="21">
        <f>3+1</f>
        <v>4</v>
      </c>
      <c r="K1752" s="21">
        <v>16</v>
      </c>
      <c r="L1752" s="21">
        <v>9</v>
      </c>
      <c r="M1752" s="21">
        <v>4</v>
      </c>
      <c r="N1752" s="150">
        <f t="shared" si="2770"/>
        <v>74</v>
      </c>
      <c r="O1752" s="22">
        <f t="shared" si="2771"/>
        <v>6.166666666666667</v>
      </c>
      <c r="P1752" s="103"/>
      <c r="Q1752" s="103"/>
      <c r="R1752" s="103"/>
      <c r="S1752" s="103"/>
      <c r="T1752" s="103"/>
      <c r="U1752" s="103"/>
      <c r="V1752" s="103"/>
      <c r="W1752" s="103"/>
      <c r="X1752" s="103"/>
      <c r="Y1752" s="103"/>
      <c r="Z1752" s="103"/>
    </row>
    <row r="1753" spans="1:26" s="9" customFormat="1" ht="15.75">
      <c r="A1753" s="37" t="s">
        <v>227</v>
      </c>
      <c r="B1753" s="21">
        <v>6</v>
      </c>
      <c r="C1753" s="21">
        <v>5</v>
      </c>
      <c r="D1753" s="21">
        <v>5</v>
      </c>
      <c r="E1753" s="21">
        <v>2</v>
      </c>
      <c r="F1753" s="21">
        <v>6</v>
      </c>
      <c r="G1753" s="21">
        <v>3</v>
      </c>
      <c r="H1753" s="21">
        <v>3</v>
      </c>
      <c r="I1753" s="21">
        <v>4</v>
      </c>
      <c r="J1753" s="21">
        <v>3</v>
      </c>
      <c r="K1753" s="21">
        <v>2</v>
      </c>
      <c r="L1753" s="21">
        <v>8</v>
      </c>
      <c r="M1753" s="21">
        <v>1</v>
      </c>
      <c r="N1753" s="150">
        <f t="shared" si="2770"/>
        <v>48</v>
      </c>
      <c r="O1753" s="22">
        <f t="shared" si="2771"/>
        <v>4</v>
      </c>
      <c r="P1753" s="103"/>
      <c r="Q1753" s="103"/>
      <c r="R1753" s="103"/>
      <c r="S1753" s="103"/>
      <c r="T1753" s="103"/>
      <c r="U1753" s="103"/>
      <c r="V1753" s="103"/>
      <c r="W1753" s="103"/>
      <c r="X1753" s="103"/>
      <c r="Y1753" s="103"/>
      <c r="Z1753" s="103"/>
    </row>
    <row r="1754" spans="1:26" s="9" customFormat="1" ht="15.75">
      <c r="A1754" s="37" t="s">
        <v>361</v>
      </c>
      <c r="B1754" s="21">
        <v>0</v>
      </c>
      <c r="C1754" s="21">
        <v>1</v>
      </c>
      <c r="D1754" s="21">
        <v>2</v>
      </c>
      <c r="E1754" s="21">
        <v>4</v>
      </c>
      <c r="F1754" s="21">
        <v>0</v>
      </c>
      <c r="G1754" s="21">
        <v>0</v>
      </c>
      <c r="H1754" s="21">
        <v>0</v>
      </c>
      <c r="I1754" s="21">
        <v>0</v>
      </c>
      <c r="J1754" s="21">
        <v>0</v>
      </c>
      <c r="K1754" s="21">
        <v>0</v>
      </c>
      <c r="L1754" s="21">
        <v>2</v>
      </c>
      <c r="M1754" s="21">
        <v>0</v>
      </c>
      <c r="N1754" s="150">
        <f t="shared" si="2770"/>
        <v>9</v>
      </c>
      <c r="O1754" s="22">
        <f t="shared" si="2771"/>
        <v>0.75</v>
      </c>
      <c r="P1754" s="103"/>
      <c r="Q1754" s="103"/>
      <c r="R1754" s="103"/>
      <c r="S1754" s="103"/>
      <c r="T1754" s="103"/>
      <c r="U1754" s="103"/>
      <c r="V1754" s="103"/>
      <c r="W1754" s="103"/>
      <c r="X1754" s="103"/>
      <c r="Y1754" s="103"/>
      <c r="Z1754" s="103"/>
    </row>
    <row r="1755" spans="1:26" s="9" customFormat="1" ht="15.75">
      <c r="A1755" s="37" t="s">
        <v>336</v>
      </c>
      <c r="B1755" s="21">
        <v>0</v>
      </c>
      <c r="C1755" s="21">
        <v>0</v>
      </c>
      <c r="D1755" s="21">
        <v>1</v>
      </c>
      <c r="E1755" s="21">
        <v>5</v>
      </c>
      <c r="F1755" s="21">
        <v>0</v>
      </c>
      <c r="G1755" s="21">
        <v>0</v>
      </c>
      <c r="H1755" s="21">
        <v>0</v>
      </c>
      <c r="I1755" s="21">
        <v>0</v>
      </c>
      <c r="J1755" s="21">
        <v>0</v>
      </c>
      <c r="K1755" s="21">
        <v>0</v>
      </c>
      <c r="L1755" s="21">
        <v>0</v>
      </c>
      <c r="M1755" s="21">
        <v>0</v>
      </c>
      <c r="N1755" s="150">
        <f t="shared" si="2770"/>
        <v>6</v>
      </c>
      <c r="O1755" s="22">
        <f t="shared" si="2771"/>
        <v>0.5</v>
      </c>
      <c r="P1755" s="103"/>
      <c r="Q1755" s="103"/>
      <c r="R1755" s="103"/>
      <c r="S1755" s="103"/>
      <c r="T1755" s="103"/>
      <c r="U1755" s="103"/>
      <c r="V1755" s="103"/>
      <c r="W1755" s="103"/>
      <c r="X1755" s="103"/>
      <c r="Y1755" s="103"/>
      <c r="Z1755" s="103"/>
    </row>
    <row r="1756" spans="1:26" s="9" customFormat="1" ht="30">
      <c r="A1756" s="37" t="s">
        <v>368</v>
      </c>
      <c r="B1756" s="21">
        <v>0</v>
      </c>
      <c r="C1756" s="21">
        <v>0</v>
      </c>
      <c r="D1756" s="21">
        <v>0</v>
      </c>
      <c r="E1756" s="21">
        <v>0</v>
      </c>
      <c r="F1756" s="21">
        <v>2</v>
      </c>
      <c r="G1756" s="21">
        <v>2</v>
      </c>
      <c r="H1756" s="21">
        <v>4</v>
      </c>
      <c r="I1756" s="21">
        <v>0</v>
      </c>
      <c r="J1756" s="21">
        <v>0</v>
      </c>
      <c r="K1756" s="21">
        <v>0</v>
      </c>
      <c r="L1756" s="21">
        <v>1</v>
      </c>
      <c r="M1756" s="21">
        <v>0</v>
      </c>
      <c r="N1756" s="150">
        <f t="shared" si="2770"/>
        <v>9</v>
      </c>
      <c r="O1756" s="22">
        <f t="shared" si="2771"/>
        <v>0.75</v>
      </c>
      <c r="P1756" s="103"/>
      <c r="Q1756" s="103"/>
      <c r="R1756" s="103"/>
      <c r="S1756" s="103"/>
      <c r="T1756" s="103"/>
      <c r="U1756" s="103"/>
      <c r="V1756" s="103"/>
      <c r="W1756" s="103"/>
      <c r="X1756" s="103"/>
      <c r="Y1756" s="103"/>
      <c r="Z1756" s="103"/>
    </row>
    <row r="1757" spans="1:26" s="9" customFormat="1" ht="15.75">
      <c r="A1757" s="37" t="s">
        <v>243</v>
      </c>
      <c r="B1757" s="21">
        <v>7</v>
      </c>
      <c r="C1757" s="21">
        <v>14</v>
      </c>
      <c r="D1757" s="21">
        <v>3</v>
      </c>
      <c r="E1757" s="21">
        <v>7</v>
      </c>
      <c r="F1757" s="21">
        <v>4</v>
      </c>
      <c r="G1757" s="21">
        <v>4</v>
      </c>
      <c r="H1757" s="21">
        <v>0</v>
      </c>
      <c r="I1757" s="21">
        <v>12</v>
      </c>
      <c r="J1757" s="21">
        <v>17</v>
      </c>
      <c r="K1757" s="21">
        <v>5</v>
      </c>
      <c r="L1757" s="21">
        <v>8</v>
      </c>
      <c r="M1757" s="21">
        <v>1</v>
      </c>
      <c r="N1757" s="150">
        <f t="shared" si="2770"/>
        <v>82</v>
      </c>
      <c r="O1757" s="22">
        <f t="shared" si="2771"/>
        <v>6.833333333333333</v>
      </c>
      <c r="P1757" s="103"/>
      <c r="Q1757" s="103"/>
      <c r="R1757" s="103"/>
      <c r="S1757" s="103"/>
      <c r="T1757" s="103"/>
      <c r="U1757" s="103"/>
      <c r="V1757" s="103"/>
      <c r="W1757" s="103"/>
      <c r="X1757" s="103"/>
      <c r="Y1757" s="103"/>
      <c r="Z1757" s="103"/>
    </row>
    <row r="1758" spans="1:26" s="9" customFormat="1" ht="15.75">
      <c r="A1758" s="37" t="s">
        <v>244</v>
      </c>
      <c r="B1758" s="21">
        <v>3</v>
      </c>
      <c r="C1758" s="21">
        <v>6</v>
      </c>
      <c r="D1758" s="21">
        <v>13</v>
      </c>
      <c r="E1758" s="21">
        <v>2</v>
      </c>
      <c r="F1758" s="21">
        <v>2</v>
      </c>
      <c r="G1758" s="21">
        <v>6</v>
      </c>
      <c r="H1758" s="21">
        <v>0</v>
      </c>
      <c r="I1758" s="21"/>
      <c r="J1758" s="21">
        <v>2</v>
      </c>
      <c r="K1758" s="21">
        <v>3</v>
      </c>
      <c r="L1758" s="21">
        <v>0</v>
      </c>
      <c r="M1758" s="21">
        <v>3</v>
      </c>
      <c r="N1758" s="150">
        <f t="shared" si="2770"/>
        <v>40</v>
      </c>
      <c r="O1758" s="22">
        <f t="shared" si="2771"/>
        <v>3.6363636363636362</v>
      </c>
      <c r="P1758" s="103"/>
      <c r="Q1758" s="103"/>
      <c r="R1758" s="103"/>
      <c r="S1758" s="103"/>
      <c r="T1758" s="103"/>
      <c r="U1758" s="103"/>
      <c r="V1758" s="103"/>
      <c r="W1758" s="103"/>
      <c r="X1758" s="103"/>
      <c r="Y1758" s="103"/>
      <c r="Z1758" s="103"/>
    </row>
    <row r="1759" spans="1:26" s="9" customFormat="1" ht="15.75">
      <c r="A1759" s="37" t="s">
        <v>318</v>
      </c>
      <c r="B1759" s="21">
        <v>0</v>
      </c>
      <c r="C1759" s="21">
        <v>0</v>
      </c>
      <c r="D1759" s="21">
        <v>0</v>
      </c>
      <c r="E1759" s="21">
        <v>0</v>
      </c>
      <c r="F1759" s="21">
        <v>0</v>
      </c>
      <c r="G1759" s="21">
        <v>0</v>
      </c>
      <c r="H1759" s="21">
        <v>2</v>
      </c>
      <c r="I1759" s="21">
        <v>3</v>
      </c>
      <c r="J1759" s="21">
        <v>0</v>
      </c>
      <c r="K1759" s="21">
        <v>0</v>
      </c>
      <c r="L1759" s="21">
        <v>0</v>
      </c>
      <c r="M1759" s="21">
        <v>0</v>
      </c>
      <c r="N1759" s="150">
        <f t="shared" si="2770"/>
        <v>5</v>
      </c>
      <c r="O1759" s="22">
        <f t="shared" si="2771"/>
        <v>0.41666666666666669</v>
      </c>
      <c r="P1759" s="103"/>
      <c r="Q1759" s="103"/>
      <c r="R1759" s="103"/>
      <c r="S1759" s="103"/>
      <c r="T1759" s="103"/>
      <c r="U1759" s="103"/>
      <c r="V1759" s="103"/>
      <c r="W1759" s="103"/>
      <c r="X1759" s="103"/>
      <c r="Y1759" s="103"/>
      <c r="Z1759" s="103"/>
    </row>
    <row r="1760" spans="1:26" s="9" customFormat="1" ht="15.75">
      <c r="A1760" s="37" t="s">
        <v>192</v>
      </c>
      <c r="B1760" s="21">
        <v>3</v>
      </c>
      <c r="C1760" s="21">
        <v>1</v>
      </c>
      <c r="D1760" s="21">
        <v>3</v>
      </c>
      <c r="E1760" s="21">
        <v>2</v>
      </c>
      <c r="F1760" s="21">
        <v>0</v>
      </c>
      <c r="G1760" s="21">
        <v>3</v>
      </c>
      <c r="H1760" s="21">
        <v>3</v>
      </c>
      <c r="I1760" s="21">
        <v>2</v>
      </c>
      <c r="J1760" s="21">
        <v>4</v>
      </c>
      <c r="K1760" s="21">
        <v>0</v>
      </c>
      <c r="L1760" s="21">
        <v>0</v>
      </c>
      <c r="M1760" s="21">
        <v>0</v>
      </c>
      <c r="N1760" s="150">
        <f t="shared" si="2770"/>
        <v>21</v>
      </c>
      <c r="O1760" s="22">
        <f t="shared" si="2771"/>
        <v>1.75</v>
      </c>
      <c r="P1760" s="103"/>
      <c r="Q1760" s="103"/>
      <c r="R1760" s="103"/>
      <c r="S1760" s="103"/>
      <c r="T1760" s="103"/>
      <c r="U1760" s="103"/>
      <c r="V1760" s="103"/>
      <c r="W1760" s="103"/>
      <c r="X1760" s="103"/>
      <c r="Y1760" s="103"/>
      <c r="Z1760" s="103"/>
    </row>
    <row r="1761" spans="1:26" s="9" customFormat="1" ht="15.75">
      <c r="A1761" s="37" t="s">
        <v>245</v>
      </c>
      <c r="B1761" s="21">
        <v>12</v>
      </c>
      <c r="C1761" s="21">
        <v>8</v>
      </c>
      <c r="D1761" s="21">
        <v>5</v>
      </c>
      <c r="E1761" s="21">
        <v>2</v>
      </c>
      <c r="F1761" s="21">
        <v>6</v>
      </c>
      <c r="G1761" s="21">
        <v>8</v>
      </c>
      <c r="H1761" s="21">
        <v>3</v>
      </c>
      <c r="I1761" s="21">
        <v>2</v>
      </c>
      <c r="J1761" s="21">
        <v>9</v>
      </c>
      <c r="K1761" s="21">
        <v>9</v>
      </c>
      <c r="L1761" s="21">
        <v>3</v>
      </c>
      <c r="M1761" s="21">
        <v>3</v>
      </c>
      <c r="N1761" s="150">
        <f t="shared" si="2770"/>
        <v>70</v>
      </c>
      <c r="O1761" s="22">
        <f t="shared" si="2771"/>
        <v>5.833333333333333</v>
      </c>
      <c r="P1761" s="103"/>
      <c r="Q1761" s="103"/>
      <c r="R1761" s="103"/>
      <c r="S1761" s="103"/>
      <c r="T1761" s="103"/>
      <c r="U1761" s="103"/>
      <c r="V1761" s="103"/>
      <c r="W1761" s="103"/>
      <c r="X1761" s="103"/>
      <c r="Y1761" s="103"/>
      <c r="Z1761" s="103"/>
    </row>
    <row r="1762" spans="1:26" s="9" customFormat="1" ht="15.75">
      <c r="A1762" s="37" t="s">
        <v>338</v>
      </c>
      <c r="B1762" s="21">
        <v>4</v>
      </c>
      <c r="C1762" s="21">
        <v>1</v>
      </c>
      <c r="D1762" s="21">
        <v>0</v>
      </c>
      <c r="E1762" s="21">
        <v>0</v>
      </c>
      <c r="F1762" s="21">
        <v>0</v>
      </c>
      <c r="G1762" s="21">
        <v>1</v>
      </c>
      <c r="H1762" s="21">
        <v>1</v>
      </c>
      <c r="I1762" s="21">
        <v>0</v>
      </c>
      <c r="J1762" s="21">
        <v>0</v>
      </c>
      <c r="K1762" s="21">
        <v>1</v>
      </c>
      <c r="L1762" s="21">
        <v>0</v>
      </c>
      <c r="M1762" s="21">
        <v>0</v>
      </c>
      <c r="N1762" s="150">
        <f t="shared" si="2770"/>
        <v>8</v>
      </c>
      <c r="O1762" s="22">
        <f t="shared" si="2771"/>
        <v>0.66666666666666663</v>
      </c>
      <c r="P1762" s="103"/>
      <c r="Q1762" s="103"/>
      <c r="R1762" s="103"/>
      <c r="S1762" s="103"/>
      <c r="T1762" s="103"/>
      <c r="U1762" s="103"/>
      <c r="V1762" s="103"/>
      <c r="W1762" s="103"/>
      <c r="X1762" s="103"/>
      <c r="Y1762" s="103"/>
      <c r="Z1762" s="103"/>
    </row>
    <row r="1763" spans="1:26" s="9" customFormat="1" ht="15.75">
      <c r="A1763" s="37" t="s">
        <v>300</v>
      </c>
      <c r="B1763" s="21">
        <v>0</v>
      </c>
      <c r="C1763" s="21">
        <v>0</v>
      </c>
      <c r="D1763" s="21">
        <v>0</v>
      </c>
      <c r="E1763" s="21">
        <v>0</v>
      </c>
      <c r="F1763" s="21">
        <v>0</v>
      </c>
      <c r="G1763" s="21">
        <v>0</v>
      </c>
      <c r="H1763" s="21">
        <v>0</v>
      </c>
      <c r="I1763" s="21">
        <v>0</v>
      </c>
      <c r="J1763" s="21">
        <v>2</v>
      </c>
      <c r="K1763" s="21">
        <v>2</v>
      </c>
      <c r="L1763" s="21">
        <v>2</v>
      </c>
      <c r="M1763" s="21">
        <v>0</v>
      </c>
      <c r="N1763" s="150">
        <f t="shared" si="2770"/>
        <v>6</v>
      </c>
      <c r="O1763" s="22">
        <f t="shared" si="2771"/>
        <v>0.5</v>
      </c>
      <c r="P1763" s="103"/>
      <c r="Q1763" s="103"/>
      <c r="R1763" s="103"/>
      <c r="S1763" s="103"/>
      <c r="T1763" s="103"/>
      <c r="U1763" s="103"/>
      <c r="V1763" s="103"/>
      <c r="W1763" s="103"/>
      <c r="X1763" s="103"/>
      <c r="Y1763" s="103"/>
      <c r="Z1763" s="103"/>
    </row>
    <row r="1764" spans="1:26" s="9" customFormat="1" ht="15" customHeight="1">
      <c r="A1764" s="37" t="s">
        <v>345</v>
      </c>
      <c r="B1764" s="21">
        <v>1</v>
      </c>
      <c r="C1764" s="21">
        <v>2</v>
      </c>
      <c r="D1764" s="21">
        <v>0</v>
      </c>
      <c r="E1764" s="21">
        <v>0</v>
      </c>
      <c r="F1764" s="21">
        <v>0</v>
      </c>
      <c r="G1764" s="21">
        <v>0</v>
      </c>
      <c r="H1764" s="21">
        <v>2</v>
      </c>
      <c r="I1764" s="21">
        <v>0</v>
      </c>
      <c r="J1764" s="21">
        <v>1</v>
      </c>
      <c r="K1764" s="21">
        <v>0</v>
      </c>
      <c r="L1764" s="21">
        <v>0</v>
      </c>
      <c r="M1764" s="21">
        <v>0</v>
      </c>
      <c r="N1764" s="150">
        <f t="shared" si="2770"/>
        <v>6</v>
      </c>
      <c r="O1764" s="22">
        <f t="shared" si="2771"/>
        <v>0.5</v>
      </c>
      <c r="P1764" s="103"/>
      <c r="Q1764" s="103"/>
      <c r="R1764" s="103"/>
      <c r="S1764" s="103"/>
      <c r="T1764" s="103"/>
      <c r="U1764" s="103"/>
      <c r="V1764" s="103"/>
      <c r="W1764" s="103"/>
      <c r="X1764" s="103"/>
      <c r="Y1764" s="103"/>
      <c r="Z1764" s="103"/>
    </row>
    <row r="1765" spans="1:26" s="9" customFormat="1" ht="30">
      <c r="A1765" s="40" t="s">
        <v>339</v>
      </c>
      <c r="B1765" s="21">
        <v>0</v>
      </c>
      <c r="C1765" s="21">
        <v>2</v>
      </c>
      <c r="D1765" s="21">
        <v>0</v>
      </c>
      <c r="E1765" s="21">
        <v>6</v>
      </c>
      <c r="F1765" s="21">
        <v>3</v>
      </c>
      <c r="G1765" s="21">
        <v>0</v>
      </c>
      <c r="H1765" s="21">
        <v>1</v>
      </c>
      <c r="I1765" s="21">
        <v>0</v>
      </c>
      <c r="J1765" s="21">
        <v>1</v>
      </c>
      <c r="K1765" s="21">
        <v>2</v>
      </c>
      <c r="L1765" s="21">
        <v>1</v>
      </c>
      <c r="M1765" s="21">
        <v>1</v>
      </c>
      <c r="N1765" s="150">
        <f t="shared" si="2770"/>
        <v>17</v>
      </c>
      <c r="O1765" s="22">
        <f t="shared" si="2771"/>
        <v>1.4166666666666667</v>
      </c>
      <c r="P1765" s="103"/>
      <c r="Q1765" s="103"/>
      <c r="R1765" s="103"/>
      <c r="S1765" s="103"/>
      <c r="T1765" s="103"/>
      <c r="U1765" s="103"/>
      <c r="V1765" s="103"/>
      <c r="W1765" s="103"/>
      <c r="X1765" s="103"/>
      <c r="Y1765" s="103"/>
      <c r="Z1765" s="103"/>
    </row>
    <row r="1766" spans="1:26" s="9" customFormat="1" ht="15.75">
      <c r="A1766" s="40" t="s">
        <v>253</v>
      </c>
      <c r="B1766" s="21">
        <v>1</v>
      </c>
      <c r="C1766" s="21">
        <v>1</v>
      </c>
      <c r="D1766" s="21">
        <v>0</v>
      </c>
      <c r="E1766" s="21">
        <v>2</v>
      </c>
      <c r="F1766" s="21">
        <v>1</v>
      </c>
      <c r="G1766" s="21">
        <v>0</v>
      </c>
      <c r="H1766" s="21">
        <v>0</v>
      </c>
      <c r="I1766" s="21">
        <v>1</v>
      </c>
      <c r="J1766" s="21">
        <v>1</v>
      </c>
      <c r="K1766" s="21">
        <v>0</v>
      </c>
      <c r="L1766" s="21">
        <v>0</v>
      </c>
      <c r="M1766" s="21">
        <v>0</v>
      </c>
      <c r="N1766" s="150">
        <f t="shared" ref="N1766" si="2774">SUM(B1766:M1766)</f>
        <v>7</v>
      </c>
      <c r="O1766" s="22">
        <f t="shared" ref="O1766" si="2775">IF(N1766=0,0,AVERAGE(B1766:M1766))</f>
        <v>0.58333333333333337</v>
      </c>
      <c r="P1766" s="103"/>
      <c r="Q1766" s="103"/>
      <c r="R1766" s="103"/>
      <c r="S1766" s="103"/>
      <c r="T1766" s="103"/>
      <c r="U1766" s="103"/>
      <c r="V1766" s="103"/>
      <c r="W1766" s="103"/>
      <c r="X1766" s="103"/>
      <c r="Y1766" s="103"/>
      <c r="Z1766" s="103"/>
    </row>
    <row r="1767" spans="1:26" s="9" customFormat="1" ht="30">
      <c r="A1767" s="37" t="s">
        <v>344</v>
      </c>
      <c r="B1767" s="21">
        <v>0</v>
      </c>
      <c r="C1767" s="21">
        <v>0</v>
      </c>
      <c r="D1767" s="21">
        <v>0</v>
      </c>
      <c r="E1767" s="21">
        <v>0</v>
      </c>
      <c r="F1767" s="21">
        <v>0</v>
      </c>
      <c r="G1767" s="21">
        <v>0</v>
      </c>
      <c r="H1767" s="21">
        <v>0</v>
      </c>
      <c r="I1767" s="21">
        <v>0</v>
      </c>
      <c r="J1767" s="21">
        <v>0</v>
      </c>
      <c r="K1767" s="21">
        <v>0</v>
      </c>
      <c r="L1767" s="21">
        <v>0</v>
      </c>
      <c r="M1767" s="21">
        <v>0</v>
      </c>
      <c r="N1767" s="150">
        <f t="shared" si="2770"/>
        <v>0</v>
      </c>
      <c r="O1767" s="22">
        <f t="shared" si="2771"/>
        <v>0</v>
      </c>
      <c r="P1767" s="103"/>
      <c r="Q1767" s="103"/>
      <c r="R1767" s="103"/>
      <c r="S1767" s="103"/>
      <c r="T1767" s="103"/>
      <c r="U1767" s="103"/>
      <c r="V1767" s="103"/>
      <c r="W1767" s="103"/>
      <c r="X1767" s="103"/>
      <c r="Y1767" s="103"/>
      <c r="Z1767" s="103"/>
    </row>
    <row r="1768" spans="1:26" s="9" customFormat="1" ht="16.5" customHeight="1">
      <c r="A1768" s="37" t="s">
        <v>365</v>
      </c>
      <c r="B1768" s="21">
        <v>23</v>
      </c>
      <c r="C1768" s="21">
        <v>25</v>
      </c>
      <c r="D1768" s="21">
        <v>6</v>
      </c>
      <c r="E1768" s="21">
        <v>2</v>
      </c>
      <c r="F1768" s="21">
        <v>23</v>
      </c>
      <c r="G1768" s="21">
        <v>2</v>
      </c>
      <c r="H1768" s="21">
        <v>0</v>
      </c>
      <c r="I1768" s="21">
        <v>30</v>
      </c>
      <c r="J1768" s="21">
        <v>13</v>
      </c>
      <c r="K1768" s="21">
        <v>7</v>
      </c>
      <c r="L1768" s="21">
        <v>3</v>
      </c>
      <c r="M1768" s="21">
        <v>1</v>
      </c>
      <c r="N1768" s="150">
        <f t="shared" si="2770"/>
        <v>135</v>
      </c>
      <c r="O1768" s="22">
        <f t="shared" si="2771"/>
        <v>11.25</v>
      </c>
      <c r="P1768" s="103"/>
      <c r="Q1768" s="103"/>
      <c r="R1768" s="103"/>
      <c r="S1768" s="103"/>
      <c r="T1768" s="103"/>
      <c r="U1768" s="103"/>
      <c r="V1768" s="103"/>
      <c r="W1768" s="103"/>
      <c r="X1768" s="103"/>
      <c r="Y1768" s="103"/>
      <c r="Z1768" s="103"/>
    </row>
    <row r="1769" spans="1:26" s="9" customFormat="1" ht="15.75">
      <c r="A1769" s="37" t="s">
        <v>246</v>
      </c>
      <c r="B1769" s="21">
        <v>17</v>
      </c>
      <c r="C1769" s="21">
        <v>28</v>
      </c>
      <c r="D1769" s="21">
        <v>10</v>
      </c>
      <c r="E1769" s="21">
        <v>7</v>
      </c>
      <c r="F1769" s="21">
        <v>0</v>
      </c>
      <c r="G1769" s="21">
        <v>22</v>
      </c>
      <c r="H1769" s="21">
        <v>22</v>
      </c>
      <c r="I1769" s="21">
        <v>8</v>
      </c>
      <c r="J1769" s="21">
        <v>27</v>
      </c>
      <c r="K1769" s="21">
        <v>26</v>
      </c>
      <c r="L1769" s="21">
        <v>17</v>
      </c>
      <c r="M1769" s="21">
        <v>14</v>
      </c>
      <c r="N1769" s="150">
        <f t="shared" si="2770"/>
        <v>198</v>
      </c>
      <c r="O1769" s="22">
        <f t="shared" si="2771"/>
        <v>16.5</v>
      </c>
      <c r="P1769" s="103"/>
      <c r="Q1769" s="103"/>
      <c r="R1769" s="103"/>
      <c r="S1769" s="103"/>
      <c r="T1769" s="103"/>
      <c r="U1769" s="103"/>
      <c r="V1769" s="103"/>
      <c r="W1769" s="103"/>
      <c r="X1769" s="103"/>
      <c r="Y1769" s="103"/>
      <c r="Z1769" s="103"/>
    </row>
    <row r="1770" spans="1:26" s="9" customFormat="1" ht="15.75">
      <c r="A1770" s="37" t="s">
        <v>247</v>
      </c>
      <c r="B1770" s="21">
        <v>2</v>
      </c>
      <c r="C1770" s="21">
        <v>3</v>
      </c>
      <c r="D1770" s="21">
        <v>0</v>
      </c>
      <c r="E1770" s="21">
        <v>1</v>
      </c>
      <c r="F1770" s="21">
        <v>10</v>
      </c>
      <c r="G1770" s="21">
        <v>1</v>
      </c>
      <c r="H1770" s="21">
        <v>1</v>
      </c>
      <c r="I1770" s="21">
        <v>0</v>
      </c>
      <c r="J1770" s="21">
        <v>1</v>
      </c>
      <c r="K1770" s="21">
        <v>1</v>
      </c>
      <c r="L1770" s="21">
        <v>0</v>
      </c>
      <c r="M1770" s="21">
        <v>1</v>
      </c>
      <c r="N1770" s="150">
        <f t="shared" si="2770"/>
        <v>21</v>
      </c>
      <c r="O1770" s="22">
        <f t="shared" si="2771"/>
        <v>1.75</v>
      </c>
      <c r="P1770" s="103"/>
      <c r="Q1770" s="103"/>
      <c r="R1770" s="103"/>
      <c r="S1770" s="103"/>
      <c r="T1770" s="103"/>
      <c r="U1770" s="103"/>
      <c r="V1770" s="103"/>
      <c r="W1770" s="103"/>
      <c r="X1770" s="103"/>
      <c r="Y1770" s="103"/>
      <c r="Z1770" s="103"/>
    </row>
    <row r="1771" spans="1:26" s="9" customFormat="1" ht="15.75">
      <c r="A1771" s="40" t="s">
        <v>194</v>
      </c>
      <c r="B1771" s="21">
        <v>0</v>
      </c>
      <c r="C1771" s="21">
        <v>0</v>
      </c>
      <c r="D1771" s="21">
        <v>0</v>
      </c>
      <c r="E1771" s="21">
        <v>1</v>
      </c>
      <c r="F1771" s="21">
        <v>0</v>
      </c>
      <c r="G1771" s="21">
        <v>0</v>
      </c>
      <c r="H1771" s="21">
        <v>0</v>
      </c>
      <c r="I1771" s="21">
        <v>0</v>
      </c>
      <c r="J1771" s="21">
        <v>0</v>
      </c>
      <c r="K1771" s="21">
        <v>0</v>
      </c>
      <c r="L1771" s="21">
        <v>0</v>
      </c>
      <c r="M1771" s="21">
        <v>0</v>
      </c>
      <c r="N1771" s="150">
        <f t="shared" si="2770"/>
        <v>1</v>
      </c>
      <c r="O1771" s="22">
        <f t="shared" si="2771"/>
        <v>8.3333333333333329E-2</v>
      </c>
      <c r="P1771" s="103"/>
      <c r="Q1771" s="103"/>
      <c r="R1771" s="103"/>
      <c r="S1771" s="103"/>
      <c r="T1771" s="103"/>
      <c r="U1771" s="103"/>
      <c r="V1771" s="103"/>
      <c r="W1771" s="103"/>
      <c r="X1771" s="103"/>
      <c r="Y1771" s="103"/>
      <c r="Z1771" s="103"/>
    </row>
    <row r="1772" spans="1:26" s="9" customFormat="1" ht="15.75">
      <c r="A1772" s="37" t="s">
        <v>20</v>
      </c>
      <c r="B1772" s="21">
        <v>23</v>
      </c>
      <c r="C1772" s="21">
        <v>24</v>
      </c>
      <c r="D1772" s="21">
        <v>11</v>
      </c>
      <c r="E1772" s="21">
        <v>16</v>
      </c>
      <c r="F1772" s="21">
        <v>24</v>
      </c>
      <c r="G1772" s="21">
        <v>16</v>
      </c>
      <c r="H1772" s="21">
        <v>30</v>
      </c>
      <c r="I1772" s="21">
        <v>30</v>
      </c>
      <c r="J1772" s="21">
        <v>43</v>
      </c>
      <c r="K1772" s="21">
        <v>10</v>
      </c>
      <c r="L1772" s="21">
        <v>9</v>
      </c>
      <c r="M1772" s="21">
        <v>27</v>
      </c>
      <c r="N1772" s="150">
        <f t="shared" si="2770"/>
        <v>263</v>
      </c>
      <c r="O1772" s="22">
        <f t="shared" si="2771"/>
        <v>21.916666666666668</v>
      </c>
      <c r="P1772" s="103"/>
      <c r="Q1772" s="103"/>
      <c r="R1772" s="103"/>
      <c r="S1772" s="103"/>
      <c r="T1772" s="103"/>
      <c r="U1772" s="103"/>
      <c r="V1772" s="103"/>
      <c r="W1772" s="103"/>
      <c r="X1772" s="103"/>
      <c r="Y1772" s="103"/>
      <c r="Z1772" s="103"/>
    </row>
    <row r="1773" spans="1:26" s="9" customFormat="1" ht="15.75">
      <c r="A1773" s="40" t="s">
        <v>22</v>
      </c>
      <c r="B1773" s="21">
        <v>0</v>
      </c>
      <c r="C1773" s="21">
        <v>5</v>
      </c>
      <c r="D1773" s="21">
        <v>0</v>
      </c>
      <c r="E1773" s="21">
        <v>0</v>
      </c>
      <c r="F1773" s="21">
        <v>5</v>
      </c>
      <c r="G1773" s="21">
        <f>3+1</f>
        <v>4</v>
      </c>
      <c r="H1773" s="21">
        <v>11</v>
      </c>
      <c r="I1773" s="21">
        <f>2+2</f>
        <v>4</v>
      </c>
      <c r="J1773" s="21">
        <f>2+1</f>
        <v>3</v>
      </c>
      <c r="K1773" s="21">
        <f>1+2</f>
        <v>3</v>
      </c>
      <c r="L1773" s="21">
        <v>2</v>
      </c>
      <c r="M1773" s="21">
        <v>1</v>
      </c>
      <c r="N1773" s="150">
        <f t="shared" si="2770"/>
        <v>38</v>
      </c>
      <c r="O1773" s="22">
        <f t="shared" si="2771"/>
        <v>3.1666666666666665</v>
      </c>
      <c r="P1773" s="103"/>
      <c r="Q1773" s="103"/>
      <c r="R1773" s="103"/>
      <c r="S1773" s="103"/>
      <c r="T1773" s="103"/>
      <c r="U1773" s="103"/>
      <c r="V1773" s="103"/>
      <c r="W1773" s="103"/>
      <c r="X1773" s="103"/>
      <c r="Y1773" s="103"/>
      <c r="Z1773" s="103"/>
    </row>
    <row r="1774" spans="1:26" s="9" customFormat="1" ht="15.75">
      <c r="A1774" s="62" t="s">
        <v>21</v>
      </c>
      <c r="B1774" s="24">
        <f t="shared" ref="B1774:M1774" si="2776">SUM(B1724:B1773)</f>
        <v>347</v>
      </c>
      <c r="C1774" s="24">
        <f t="shared" si="2776"/>
        <v>446</v>
      </c>
      <c r="D1774" s="24">
        <f t="shared" si="2776"/>
        <v>307</v>
      </c>
      <c r="E1774" s="24">
        <f t="shared" si="2776"/>
        <v>213</v>
      </c>
      <c r="F1774" s="24">
        <f t="shared" si="2776"/>
        <v>349</v>
      </c>
      <c r="G1774" s="24">
        <f t="shared" si="2776"/>
        <v>447</v>
      </c>
      <c r="H1774" s="24">
        <f t="shared" si="2776"/>
        <v>426</v>
      </c>
      <c r="I1774" s="24">
        <f t="shared" si="2776"/>
        <v>359</v>
      </c>
      <c r="J1774" s="24">
        <f t="shared" si="2776"/>
        <v>302</v>
      </c>
      <c r="K1774" s="24">
        <f t="shared" si="2776"/>
        <v>313</v>
      </c>
      <c r="L1774" s="24">
        <f t="shared" si="2776"/>
        <v>231</v>
      </c>
      <c r="M1774" s="24">
        <f t="shared" si="2776"/>
        <v>185</v>
      </c>
      <c r="N1774" s="144">
        <f>SUM(N1724:N1773)</f>
        <v>3925</v>
      </c>
      <c r="O1774" s="25">
        <f>SUM(O1724:O1773)</f>
        <v>327.38636363636363</v>
      </c>
      <c r="P1774" s="103"/>
      <c r="Q1774" s="103"/>
      <c r="R1774" s="103"/>
      <c r="S1774" s="103"/>
      <c r="T1774" s="103"/>
      <c r="U1774" s="103"/>
      <c r="V1774" s="103"/>
      <c r="W1774" s="103"/>
      <c r="X1774" s="103"/>
      <c r="Y1774" s="103"/>
      <c r="Z1774" s="103"/>
    </row>
    <row r="1775" spans="1:26" s="9" customFormat="1">
      <c r="A1775" s="26"/>
      <c r="B1775" s="27"/>
      <c r="C1775" s="27"/>
      <c r="D1775" s="27"/>
      <c r="E1775" s="28"/>
      <c r="F1775" s="28"/>
      <c r="G1775" s="28"/>
      <c r="H1775" s="28"/>
      <c r="I1775" s="28"/>
      <c r="J1775" s="28"/>
      <c r="K1775" s="28"/>
      <c r="L1775" s="28"/>
      <c r="M1775" s="28"/>
      <c r="N1775" s="151"/>
      <c r="O1775" s="29"/>
      <c r="P1775" s="103"/>
      <c r="Q1775" s="103"/>
      <c r="R1775" s="103"/>
      <c r="S1775" s="103"/>
      <c r="T1775" s="103"/>
      <c r="U1775" s="103"/>
      <c r="V1775" s="103"/>
      <c r="W1775" s="103"/>
      <c r="X1775" s="103"/>
      <c r="Y1775" s="103"/>
      <c r="Z1775" s="103"/>
    </row>
    <row r="1776" spans="1:26" s="9" customFormat="1" ht="15.75">
      <c r="A1776" s="58" t="s">
        <v>254</v>
      </c>
      <c r="B1776" s="119"/>
      <c r="C1776" s="119"/>
      <c r="D1776" s="119"/>
      <c r="E1776" s="119"/>
      <c r="F1776" s="119"/>
      <c r="G1776" s="119"/>
      <c r="H1776" s="119"/>
      <c r="I1776" s="119"/>
      <c r="J1776" s="119"/>
      <c r="K1776" s="119"/>
      <c r="L1776" s="119"/>
      <c r="M1776" s="119"/>
      <c r="N1776" s="173"/>
      <c r="O1776" s="120"/>
      <c r="P1776" s="103"/>
      <c r="Q1776" s="103"/>
      <c r="R1776" s="103"/>
      <c r="S1776" s="103"/>
      <c r="T1776" s="103"/>
      <c r="U1776" s="103"/>
      <c r="V1776" s="103"/>
      <c r="W1776" s="103"/>
      <c r="X1776" s="103"/>
      <c r="Y1776" s="103"/>
      <c r="Z1776" s="103"/>
    </row>
    <row r="1777" spans="1:26" s="9" customFormat="1" ht="15.75">
      <c r="A1777" s="17" t="s">
        <v>661</v>
      </c>
      <c r="B1777" s="30"/>
      <c r="C1777" s="30"/>
      <c r="D1777" s="30"/>
      <c r="E1777" s="30"/>
      <c r="F1777" s="30"/>
      <c r="G1777" s="30"/>
      <c r="H1777" s="30"/>
      <c r="I1777" s="30"/>
      <c r="J1777" s="30"/>
      <c r="K1777" s="30"/>
      <c r="L1777" s="30"/>
      <c r="M1777" s="30"/>
      <c r="N1777" s="152"/>
      <c r="O1777" s="31"/>
      <c r="P1777" s="103"/>
      <c r="Q1777" s="103"/>
      <c r="R1777" s="103"/>
      <c r="S1777" s="103"/>
      <c r="T1777" s="103"/>
      <c r="U1777" s="103"/>
      <c r="V1777" s="103"/>
      <c r="W1777" s="103"/>
      <c r="X1777" s="103"/>
      <c r="Y1777" s="103"/>
      <c r="Z1777" s="103"/>
    </row>
    <row r="1778" spans="1:26" s="9" customFormat="1" ht="15.75">
      <c r="A1778" s="282" t="s">
        <v>233</v>
      </c>
      <c r="B1778" s="87">
        <v>5</v>
      </c>
      <c r="C1778" s="87">
        <v>5</v>
      </c>
      <c r="D1778" s="87">
        <v>5</v>
      </c>
      <c r="E1778" s="87">
        <v>5</v>
      </c>
      <c r="F1778" s="87">
        <v>5</v>
      </c>
      <c r="G1778" s="87">
        <v>5</v>
      </c>
      <c r="H1778" s="87">
        <v>5</v>
      </c>
      <c r="I1778" s="87">
        <v>5</v>
      </c>
      <c r="J1778" s="87">
        <v>5</v>
      </c>
      <c r="K1778" s="87">
        <v>5</v>
      </c>
      <c r="L1778" s="87">
        <v>5</v>
      </c>
      <c r="M1778" s="87">
        <v>5</v>
      </c>
      <c r="N1778" s="150">
        <f>SUM(B1778:M1778)</f>
        <v>60</v>
      </c>
      <c r="O1778" s="22">
        <f>IF(N1778=0,0,AVERAGE(B1778:M1778))</f>
        <v>5</v>
      </c>
      <c r="P1778" s="103"/>
      <c r="Q1778" s="103"/>
      <c r="R1778" s="103"/>
      <c r="S1778" s="103"/>
      <c r="T1778" s="103"/>
      <c r="U1778" s="103"/>
      <c r="V1778" s="103"/>
      <c r="W1778" s="103"/>
      <c r="X1778" s="103"/>
      <c r="Y1778" s="103"/>
      <c r="Z1778" s="103"/>
    </row>
    <row r="1779" spans="1:26" s="9" customFormat="1" ht="15" customHeight="1">
      <c r="A1779" s="282" t="s">
        <v>419</v>
      </c>
      <c r="B1779" s="87">
        <v>8</v>
      </c>
      <c r="C1779" s="87">
        <v>8</v>
      </c>
      <c r="D1779" s="87">
        <v>7</v>
      </c>
      <c r="E1779" s="87">
        <v>7</v>
      </c>
      <c r="F1779" s="87">
        <v>8</v>
      </c>
      <c r="G1779" s="87">
        <v>8</v>
      </c>
      <c r="H1779" s="87">
        <v>8</v>
      </c>
      <c r="I1779" s="87">
        <v>8</v>
      </c>
      <c r="J1779" s="87">
        <v>8</v>
      </c>
      <c r="K1779" s="87">
        <v>8</v>
      </c>
      <c r="L1779" s="87">
        <v>8</v>
      </c>
      <c r="M1779" s="87">
        <v>8</v>
      </c>
      <c r="N1779" s="150">
        <f t="shared" ref="N1779:N1815" si="2777">SUM(B1779:M1779)</f>
        <v>94</v>
      </c>
      <c r="O1779" s="22">
        <f t="shared" ref="O1779:O1815" si="2778">IF(N1779=0,0,AVERAGE(B1779:M1779))</f>
        <v>7.833333333333333</v>
      </c>
      <c r="P1779" s="103"/>
      <c r="Q1779" s="103"/>
      <c r="R1779" s="103"/>
      <c r="S1779" s="103"/>
      <c r="T1779" s="103"/>
      <c r="U1779" s="103"/>
      <c r="V1779" s="103"/>
      <c r="W1779" s="103"/>
      <c r="X1779" s="103"/>
      <c r="Y1779" s="103"/>
      <c r="Z1779" s="103"/>
    </row>
    <row r="1780" spans="1:26" s="9" customFormat="1" ht="15.75">
      <c r="A1780" s="282" t="s">
        <v>420</v>
      </c>
      <c r="B1780" s="87">
        <v>1</v>
      </c>
      <c r="C1780" s="87">
        <v>1</v>
      </c>
      <c r="D1780" s="87">
        <v>1</v>
      </c>
      <c r="E1780" s="87">
        <v>1</v>
      </c>
      <c r="F1780" s="87">
        <v>1</v>
      </c>
      <c r="G1780" s="87">
        <v>1</v>
      </c>
      <c r="H1780" s="87">
        <v>2</v>
      </c>
      <c r="I1780" s="87">
        <v>2</v>
      </c>
      <c r="J1780" s="87">
        <v>1</v>
      </c>
      <c r="K1780" s="87">
        <v>1</v>
      </c>
      <c r="L1780" s="87">
        <v>1</v>
      </c>
      <c r="M1780" s="87">
        <v>1</v>
      </c>
      <c r="N1780" s="150">
        <f t="shared" si="2777"/>
        <v>14</v>
      </c>
      <c r="O1780" s="22">
        <f t="shared" si="2778"/>
        <v>1.1666666666666667</v>
      </c>
      <c r="P1780" s="103"/>
      <c r="Q1780" s="103"/>
      <c r="R1780" s="103"/>
      <c r="S1780" s="103"/>
      <c r="T1780" s="103"/>
      <c r="U1780" s="103"/>
      <c r="V1780" s="103"/>
      <c r="W1780" s="103"/>
      <c r="X1780" s="103"/>
      <c r="Y1780" s="103"/>
      <c r="Z1780" s="103"/>
    </row>
    <row r="1781" spans="1:26" s="9" customFormat="1" ht="15.75">
      <c r="A1781" s="282" t="s">
        <v>418</v>
      </c>
      <c r="B1781" s="87">
        <v>18</v>
      </c>
      <c r="C1781" s="87">
        <v>17</v>
      </c>
      <c r="D1781" s="87">
        <v>17</v>
      </c>
      <c r="E1781" s="87">
        <v>17</v>
      </c>
      <c r="F1781" s="87">
        <v>17</v>
      </c>
      <c r="G1781" s="87">
        <v>16</v>
      </c>
      <c r="H1781" s="87">
        <v>17</v>
      </c>
      <c r="I1781" s="87">
        <v>17</v>
      </c>
      <c r="J1781" s="87">
        <v>17</v>
      </c>
      <c r="K1781" s="87">
        <v>17</v>
      </c>
      <c r="L1781" s="87">
        <v>16</v>
      </c>
      <c r="M1781" s="87">
        <v>16</v>
      </c>
      <c r="N1781" s="150">
        <f t="shared" si="2777"/>
        <v>202</v>
      </c>
      <c r="O1781" s="22">
        <f t="shared" si="2778"/>
        <v>16.833333333333332</v>
      </c>
      <c r="P1781" s="103"/>
      <c r="Q1781" s="103"/>
      <c r="R1781" s="103"/>
      <c r="S1781" s="103"/>
      <c r="T1781" s="103"/>
      <c r="U1781" s="103"/>
      <c r="V1781" s="103"/>
      <c r="W1781" s="103"/>
      <c r="X1781" s="103"/>
      <c r="Y1781" s="103"/>
      <c r="Z1781" s="103"/>
    </row>
    <row r="1782" spans="1:26" s="9" customFormat="1" ht="14.25" customHeight="1">
      <c r="A1782" s="239" t="s">
        <v>421</v>
      </c>
      <c r="B1782" s="87">
        <v>1</v>
      </c>
      <c r="C1782" s="87">
        <v>1</v>
      </c>
      <c r="D1782" s="87">
        <v>1</v>
      </c>
      <c r="E1782" s="87">
        <v>1</v>
      </c>
      <c r="F1782" s="87">
        <v>1</v>
      </c>
      <c r="G1782" s="87">
        <v>1</v>
      </c>
      <c r="H1782" s="87">
        <v>1</v>
      </c>
      <c r="I1782" s="87">
        <v>1</v>
      </c>
      <c r="J1782" s="87">
        <v>1</v>
      </c>
      <c r="K1782" s="87">
        <v>1</v>
      </c>
      <c r="L1782" s="87">
        <v>1</v>
      </c>
      <c r="M1782" s="87">
        <v>1</v>
      </c>
      <c r="N1782" s="150">
        <f t="shared" si="2777"/>
        <v>12</v>
      </c>
      <c r="O1782" s="22">
        <f t="shared" si="2778"/>
        <v>1</v>
      </c>
      <c r="P1782" s="103"/>
      <c r="Q1782" s="103"/>
      <c r="R1782" s="103"/>
      <c r="S1782" s="103"/>
      <c r="T1782" s="103"/>
      <c r="U1782" s="103"/>
      <c r="V1782" s="103"/>
      <c r="W1782" s="103"/>
      <c r="X1782" s="103"/>
      <c r="Y1782" s="103"/>
      <c r="Z1782" s="103"/>
    </row>
    <row r="1783" spans="1:26" s="9" customFormat="1" ht="15.75">
      <c r="A1783" s="282" t="s">
        <v>236</v>
      </c>
      <c r="B1783" s="87">
        <v>2</v>
      </c>
      <c r="C1783" s="87">
        <v>2</v>
      </c>
      <c r="D1783" s="87">
        <v>2</v>
      </c>
      <c r="E1783" s="87">
        <v>2</v>
      </c>
      <c r="F1783" s="87">
        <v>2</v>
      </c>
      <c r="G1783" s="87">
        <v>2</v>
      </c>
      <c r="H1783" s="87">
        <v>2</v>
      </c>
      <c r="I1783" s="87">
        <v>2</v>
      </c>
      <c r="J1783" s="87">
        <v>2</v>
      </c>
      <c r="K1783" s="87">
        <v>2</v>
      </c>
      <c r="L1783" s="87">
        <v>2</v>
      </c>
      <c r="M1783" s="87">
        <v>2</v>
      </c>
      <c r="N1783" s="150">
        <f t="shared" si="2777"/>
        <v>24</v>
      </c>
      <c r="O1783" s="22">
        <f t="shared" si="2778"/>
        <v>2</v>
      </c>
      <c r="P1783" s="103"/>
      <c r="Q1783" s="103"/>
      <c r="R1783" s="103"/>
      <c r="S1783" s="103"/>
      <c r="T1783" s="103"/>
      <c r="U1783" s="103"/>
      <c r="V1783" s="103"/>
      <c r="W1783" s="103"/>
      <c r="X1783" s="103"/>
      <c r="Y1783" s="103"/>
      <c r="Z1783" s="103"/>
    </row>
    <row r="1784" spans="1:26" s="9" customFormat="1" ht="15.75">
      <c r="A1784" s="282" t="s">
        <v>366</v>
      </c>
      <c r="B1784" s="87">
        <v>0</v>
      </c>
      <c r="C1784" s="87">
        <v>0</v>
      </c>
      <c r="D1784" s="87">
        <v>0</v>
      </c>
      <c r="E1784" s="87">
        <v>0</v>
      </c>
      <c r="F1784" s="87">
        <v>0</v>
      </c>
      <c r="G1784" s="87">
        <v>0</v>
      </c>
      <c r="H1784" s="87">
        <v>0</v>
      </c>
      <c r="I1784" s="87">
        <v>0</v>
      </c>
      <c r="J1784" s="87">
        <v>1</v>
      </c>
      <c r="K1784" s="87">
        <v>1</v>
      </c>
      <c r="L1784" s="87">
        <v>1</v>
      </c>
      <c r="M1784" s="87">
        <v>1</v>
      </c>
      <c r="N1784" s="150">
        <f t="shared" si="2777"/>
        <v>4</v>
      </c>
      <c r="O1784" s="22">
        <f t="shared" si="2778"/>
        <v>0.33333333333333331</v>
      </c>
      <c r="P1784" s="103"/>
      <c r="Q1784" s="103"/>
      <c r="R1784" s="103"/>
      <c r="S1784" s="103"/>
      <c r="T1784" s="103"/>
      <c r="U1784" s="103"/>
      <c r="V1784" s="103"/>
      <c r="W1784" s="103"/>
      <c r="X1784" s="103"/>
      <c r="Y1784" s="103"/>
      <c r="Z1784" s="103"/>
    </row>
    <row r="1785" spans="1:26" s="9" customFormat="1" ht="15.75">
      <c r="A1785" s="282" t="s">
        <v>371</v>
      </c>
      <c r="B1785" s="87">
        <v>0</v>
      </c>
      <c r="C1785" s="87">
        <v>0</v>
      </c>
      <c r="D1785" s="87">
        <v>0</v>
      </c>
      <c r="E1785" s="87">
        <v>0</v>
      </c>
      <c r="F1785" s="87">
        <v>0</v>
      </c>
      <c r="G1785" s="87">
        <v>0</v>
      </c>
      <c r="H1785" s="87">
        <v>0</v>
      </c>
      <c r="I1785" s="87">
        <v>0</v>
      </c>
      <c r="J1785" s="87">
        <v>0</v>
      </c>
      <c r="K1785" s="87">
        <v>0</v>
      </c>
      <c r="L1785" s="87">
        <v>0</v>
      </c>
      <c r="M1785" s="87">
        <v>0</v>
      </c>
      <c r="N1785" s="150">
        <f t="shared" si="2777"/>
        <v>0</v>
      </c>
      <c r="O1785" s="22">
        <f t="shared" si="2778"/>
        <v>0</v>
      </c>
      <c r="P1785" s="103"/>
      <c r="Q1785" s="103"/>
      <c r="R1785" s="103"/>
      <c r="S1785" s="103"/>
      <c r="T1785" s="103"/>
      <c r="U1785" s="103"/>
      <c r="V1785" s="103"/>
      <c r="W1785" s="103"/>
      <c r="X1785" s="103"/>
      <c r="Y1785" s="103"/>
      <c r="Z1785" s="103"/>
    </row>
    <row r="1786" spans="1:26" s="9" customFormat="1" ht="15.75">
      <c r="A1786" s="282" t="s">
        <v>592</v>
      </c>
      <c r="B1786" s="87">
        <v>1</v>
      </c>
      <c r="C1786" s="87">
        <v>1</v>
      </c>
      <c r="D1786" s="87">
        <v>1</v>
      </c>
      <c r="E1786" s="87">
        <v>1</v>
      </c>
      <c r="F1786" s="87">
        <v>1</v>
      </c>
      <c r="G1786" s="87">
        <v>1</v>
      </c>
      <c r="H1786" s="87">
        <v>1</v>
      </c>
      <c r="I1786" s="87">
        <v>1</v>
      </c>
      <c r="J1786" s="87">
        <v>1</v>
      </c>
      <c r="K1786" s="87">
        <v>1</v>
      </c>
      <c r="L1786" s="87">
        <v>1</v>
      </c>
      <c r="M1786" s="87">
        <v>1</v>
      </c>
      <c r="N1786" s="150">
        <f t="shared" si="2777"/>
        <v>12</v>
      </c>
      <c r="O1786" s="22">
        <f t="shared" si="2778"/>
        <v>1</v>
      </c>
      <c r="P1786" s="103"/>
      <c r="Q1786" s="103"/>
      <c r="R1786" s="103"/>
      <c r="S1786" s="103"/>
      <c r="T1786" s="103"/>
      <c r="U1786" s="103"/>
      <c r="V1786" s="103"/>
      <c r="W1786" s="103"/>
      <c r="X1786" s="103"/>
      <c r="Y1786" s="103"/>
      <c r="Z1786" s="103"/>
    </row>
    <row r="1787" spans="1:26" s="9" customFormat="1" ht="15.75">
      <c r="A1787" s="282" t="s">
        <v>593</v>
      </c>
      <c r="B1787" s="87">
        <v>4</v>
      </c>
      <c r="C1787" s="87">
        <v>4</v>
      </c>
      <c r="D1787" s="87">
        <v>4</v>
      </c>
      <c r="E1787" s="87">
        <v>4</v>
      </c>
      <c r="F1787" s="87">
        <v>4</v>
      </c>
      <c r="G1787" s="87">
        <v>4</v>
      </c>
      <c r="H1787" s="87">
        <v>5</v>
      </c>
      <c r="I1787" s="87">
        <v>4</v>
      </c>
      <c r="J1787" s="87">
        <v>4</v>
      </c>
      <c r="K1787" s="87">
        <v>4</v>
      </c>
      <c r="L1787" s="87">
        <v>4</v>
      </c>
      <c r="M1787" s="87">
        <v>4</v>
      </c>
      <c r="N1787" s="150">
        <f t="shared" si="2777"/>
        <v>49</v>
      </c>
      <c r="O1787" s="22">
        <f t="shared" si="2778"/>
        <v>4.083333333333333</v>
      </c>
      <c r="P1787" s="103"/>
      <c r="Q1787" s="103"/>
      <c r="R1787" s="103"/>
      <c r="S1787" s="103"/>
      <c r="T1787" s="103"/>
      <c r="U1787" s="103"/>
      <c r="V1787" s="103"/>
      <c r="W1787" s="103"/>
      <c r="X1787" s="103"/>
      <c r="Y1787" s="103"/>
      <c r="Z1787" s="103"/>
    </row>
    <row r="1788" spans="1:26" s="9" customFormat="1" ht="15.75">
      <c r="A1788" s="282" t="s">
        <v>367</v>
      </c>
      <c r="B1788" s="87">
        <v>2</v>
      </c>
      <c r="C1788" s="87">
        <v>2</v>
      </c>
      <c r="D1788" s="87">
        <v>2</v>
      </c>
      <c r="E1788" s="87">
        <v>2</v>
      </c>
      <c r="F1788" s="87">
        <v>2</v>
      </c>
      <c r="G1788" s="87">
        <v>2</v>
      </c>
      <c r="H1788" s="87">
        <v>2</v>
      </c>
      <c r="I1788" s="87">
        <v>2</v>
      </c>
      <c r="J1788" s="87">
        <v>2</v>
      </c>
      <c r="K1788" s="87">
        <v>2</v>
      </c>
      <c r="L1788" s="87">
        <v>2</v>
      </c>
      <c r="M1788" s="87">
        <v>2</v>
      </c>
      <c r="N1788" s="150">
        <f t="shared" si="2777"/>
        <v>24</v>
      </c>
      <c r="O1788" s="22">
        <f t="shared" si="2778"/>
        <v>2</v>
      </c>
      <c r="P1788" s="103"/>
      <c r="Q1788" s="103"/>
      <c r="R1788" s="103"/>
      <c r="S1788" s="103"/>
      <c r="T1788" s="103"/>
      <c r="U1788" s="103"/>
      <c r="V1788" s="103"/>
      <c r="W1788" s="103"/>
      <c r="X1788" s="103"/>
      <c r="Y1788" s="103"/>
      <c r="Z1788" s="103"/>
    </row>
    <row r="1789" spans="1:26" s="9" customFormat="1" ht="15.75">
      <c r="A1789" s="282" t="s">
        <v>252</v>
      </c>
      <c r="B1789" s="87">
        <v>2</v>
      </c>
      <c r="C1789" s="87">
        <v>2</v>
      </c>
      <c r="D1789" s="87">
        <v>2</v>
      </c>
      <c r="E1789" s="87">
        <v>2</v>
      </c>
      <c r="F1789" s="87">
        <v>2</v>
      </c>
      <c r="G1789" s="87">
        <v>2</v>
      </c>
      <c r="H1789" s="87">
        <v>2</v>
      </c>
      <c r="I1789" s="87">
        <v>2</v>
      </c>
      <c r="J1789" s="87">
        <v>2</v>
      </c>
      <c r="K1789" s="87">
        <v>2</v>
      </c>
      <c r="L1789" s="87">
        <v>2</v>
      </c>
      <c r="M1789" s="87">
        <v>2</v>
      </c>
      <c r="N1789" s="150">
        <f t="shared" si="2777"/>
        <v>24</v>
      </c>
      <c r="O1789" s="22">
        <f t="shared" si="2778"/>
        <v>2</v>
      </c>
      <c r="P1789" s="103"/>
      <c r="Q1789" s="103"/>
      <c r="R1789" s="103"/>
      <c r="S1789" s="103"/>
      <c r="T1789" s="103"/>
      <c r="U1789" s="103"/>
      <c r="V1789" s="103"/>
      <c r="W1789" s="103"/>
      <c r="X1789" s="103"/>
      <c r="Y1789" s="103"/>
      <c r="Z1789" s="103"/>
    </row>
    <row r="1790" spans="1:26" s="9" customFormat="1" ht="15.75">
      <c r="A1790" s="282" t="s">
        <v>255</v>
      </c>
      <c r="B1790" s="87">
        <v>24</v>
      </c>
      <c r="C1790" s="87">
        <v>26</v>
      </c>
      <c r="D1790" s="87">
        <v>26</v>
      </c>
      <c r="E1790" s="87">
        <v>25</v>
      </c>
      <c r="F1790" s="87">
        <v>25</v>
      </c>
      <c r="G1790" s="87">
        <v>25</v>
      </c>
      <c r="H1790" s="87">
        <v>25</v>
      </c>
      <c r="I1790" s="87">
        <v>27</v>
      </c>
      <c r="J1790" s="87">
        <v>27</v>
      </c>
      <c r="K1790" s="87">
        <v>24</v>
      </c>
      <c r="L1790" s="87">
        <v>25</v>
      </c>
      <c r="M1790" s="87">
        <v>25</v>
      </c>
      <c r="N1790" s="150">
        <f t="shared" si="2777"/>
        <v>304</v>
      </c>
      <c r="O1790" s="22">
        <f t="shared" si="2778"/>
        <v>25.333333333333332</v>
      </c>
      <c r="P1790" s="103"/>
      <c r="Q1790" s="103"/>
      <c r="R1790" s="103"/>
      <c r="S1790" s="103"/>
      <c r="T1790" s="103"/>
      <c r="U1790" s="103"/>
      <c r="V1790" s="103"/>
      <c r="W1790" s="103"/>
      <c r="X1790" s="103"/>
      <c r="Y1790" s="103"/>
      <c r="Z1790" s="103"/>
    </row>
    <row r="1791" spans="1:26" s="9" customFormat="1" ht="15.75">
      <c r="A1791" s="282" t="s">
        <v>240</v>
      </c>
      <c r="B1791" s="87">
        <v>22</v>
      </c>
      <c r="C1791" s="87">
        <v>22</v>
      </c>
      <c r="D1791" s="87">
        <v>22</v>
      </c>
      <c r="E1791" s="87">
        <v>22</v>
      </c>
      <c r="F1791" s="87">
        <v>22</v>
      </c>
      <c r="G1791" s="87">
        <v>22</v>
      </c>
      <c r="H1791" s="87">
        <v>22</v>
      </c>
      <c r="I1791" s="87">
        <v>20</v>
      </c>
      <c r="J1791" s="87">
        <v>20</v>
      </c>
      <c r="K1791" s="87">
        <v>20</v>
      </c>
      <c r="L1791" s="87">
        <v>20</v>
      </c>
      <c r="M1791" s="87">
        <v>20</v>
      </c>
      <c r="N1791" s="150">
        <f t="shared" si="2777"/>
        <v>254</v>
      </c>
      <c r="O1791" s="22">
        <f t="shared" si="2778"/>
        <v>21.166666666666668</v>
      </c>
      <c r="P1791" s="103"/>
      <c r="Q1791" s="103"/>
      <c r="R1791" s="103"/>
      <c r="S1791" s="103"/>
      <c r="T1791" s="103"/>
      <c r="U1791" s="103"/>
      <c r="V1791" s="103"/>
      <c r="W1791" s="103"/>
      <c r="X1791" s="103"/>
      <c r="Y1791" s="103"/>
      <c r="Z1791" s="103"/>
    </row>
    <row r="1792" spans="1:26" s="9" customFormat="1" ht="15.75">
      <c r="A1792" s="282" t="s">
        <v>249</v>
      </c>
      <c r="B1792" s="87">
        <v>3</v>
      </c>
      <c r="C1792" s="87">
        <v>3</v>
      </c>
      <c r="D1792" s="87">
        <v>3</v>
      </c>
      <c r="E1792" s="87">
        <v>3</v>
      </c>
      <c r="F1792" s="87">
        <v>3</v>
      </c>
      <c r="G1792" s="87">
        <v>3</v>
      </c>
      <c r="H1792" s="87">
        <v>3</v>
      </c>
      <c r="I1792" s="87">
        <v>3</v>
      </c>
      <c r="J1792" s="87">
        <v>3</v>
      </c>
      <c r="K1792" s="87">
        <v>3</v>
      </c>
      <c r="L1792" s="87">
        <v>3</v>
      </c>
      <c r="M1792" s="87">
        <v>2</v>
      </c>
      <c r="N1792" s="150">
        <f t="shared" si="2777"/>
        <v>35</v>
      </c>
      <c r="O1792" s="22">
        <f t="shared" si="2778"/>
        <v>2.9166666666666665</v>
      </c>
      <c r="P1792" s="103"/>
      <c r="Q1792" s="103"/>
      <c r="R1792" s="103"/>
      <c r="S1792" s="103"/>
      <c r="T1792" s="103"/>
      <c r="U1792" s="103"/>
      <c r="V1792" s="103"/>
      <c r="W1792" s="103"/>
      <c r="X1792" s="103"/>
      <c r="Y1792" s="103"/>
      <c r="Z1792" s="103"/>
    </row>
    <row r="1793" spans="1:26" s="9" customFormat="1" ht="15.75">
      <c r="A1793" s="282" t="s">
        <v>241</v>
      </c>
      <c r="B1793" s="87">
        <v>2</v>
      </c>
      <c r="C1793" s="87">
        <v>2</v>
      </c>
      <c r="D1793" s="87">
        <v>2</v>
      </c>
      <c r="E1793" s="87">
        <v>2</v>
      </c>
      <c r="F1793" s="87">
        <v>2</v>
      </c>
      <c r="G1793" s="87">
        <v>2</v>
      </c>
      <c r="H1793" s="87">
        <v>2</v>
      </c>
      <c r="I1793" s="87">
        <v>2</v>
      </c>
      <c r="J1793" s="87">
        <v>2</v>
      </c>
      <c r="K1793" s="87">
        <v>2</v>
      </c>
      <c r="L1793" s="87">
        <v>2</v>
      </c>
      <c r="M1793" s="87">
        <v>2</v>
      </c>
      <c r="N1793" s="150">
        <f t="shared" si="2777"/>
        <v>24</v>
      </c>
      <c r="O1793" s="22">
        <f t="shared" si="2778"/>
        <v>2</v>
      </c>
      <c r="P1793" s="103"/>
      <c r="Q1793" s="103"/>
      <c r="R1793" s="103"/>
      <c r="S1793" s="103"/>
      <c r="T1793" s="103"/>
      <c r="U1793" s="103"/>
      <c r="V1793" s="103"/>
      <c r="W1793" s="103"/>
      <c r="X1793" s="103"/>
      <c r="Y1793" s="103"/>
      <c r="Z1793" s="103"/>
    </row>
    <row r="1794" spans="1:26" s="9" customFormat="1" ht="15.75">
      <c r="A1794" s="282" t="s">
        <v>581</v>
      </c>
      <c r="B1794" s="87">
        <v>1</v>
      </c>
      <c r="C1794" s="87">
        <v>1</v>
      </c>
      <c r="D1794" s="87">
        <v>1</v>
      </c>
      <c r="E1794" s="87">
        <v>1</v>
      </c>
      <c r="F1794" s="87">
        <v>1</v>
      </c>
      <c r="G1794" s="87">
        <v>1</v>
      </c>
      <c r="H1794" s="87">
        <v>1</v>
      </c>
      <c r="I1794" s="87">
        <v>1</v>
      </c>
      <c r="J1794" s="87">
        <v>1</v>
      </c>
      <c r="K1794" s="87">
        <v>1</v>
      </c>
      <c r="L1794" s="87">
        <v>1</v>
      </c>
      <c r="M1794" s="87">
        <v>1</v>
      </c>
      <c r="N1794" s="150">
        <f t="shared" si="2777"/>
        <v>12</v>
      </c>
      <c r="O1794" s="22">
        <f t="shared" si="2778"/>
        <v>1</v>
      </c>
      <c r="P1794" s="103"/>
      <c r="Q1794" s="103"/>
      <c r="R1794" s="103"/>
      <c r="S1794" s="103"/>
      <c r="T1794" s="103"/>
      <c r="U1794" s="103"/>
      <c r="V1794" s="103"/>
      <c r="W1794" s="103"/>
      <c r="X1794" s="103"/>
      <c r="Y1794" s="103"/>
      <c r="Z1794" s="103"/>
    </row>
    <row r="1795" spans="1:26" s="9" customFormat="1" ht="15.75">
      <c r="A1795" s="282" t="s">
        <v>190</v>
      </c>
      <c r="B1795" s="87">
        <v>15</v>
      </c>
      <c r="C1795" s="87">
        <v>15</v>
      </c>
      <c r="D1795" s="87">
        <v>15</v>
      </c>
      <c r="E1795" s="87">
        <v>15</v>
      </c>
      <c r="F1795" s="87">
        <v>15</v>
      </c>
      <c r="G1795" s="87">
        <v>15</v>
      </c>
      <c r="H1795" s="87">
        <v>15</v>
      </c>
      <c r="I1795" s="87">
        <v>14</v>
      </c>
      <c r="J1795" s="87">
        <v>14</v>
      </c>
      <c r="K1795" s="87">
        <v>14</v>
      </c>
      <c r="L1795" s="87">
        <v>14</v>
      </c>
      <c r="M1795" s="87">
        <v>13</v>
      </c>
      <c r="N1795" s="150">
        <f t="shared" si="2777"/>
        <v>174</v>
      </c>
      <c r="O1795" s="22">
        <f t="shared" si="2778"/>
        <v>14.5</v>
      </c>
      <c r="P1795" s="103"/>
      <c r="Q1795" s="103"/>
      <c r="R1795" s="103"/>
      <c r="S1795" s="103"/>
      <c r="T1795" s="103"/>
      <c r="U1795" s="103"/>
      <c r="V1795" s="103"/>
      <c r="W1795" s="103"/>
      <c r="X1795" s="103"/>
      <c r="Y1795" s="103"/>
      <c r="Z1795" s="103"/>
    </row>
    <row r="1796" spans="1:26" s="9" customFormat="1" ht="15.75">
      <c r="A1796" s="282" t="s">
        <v>227</v>
      </c>
      <c r="B1796" s="87">
        <v>7</v>
      </c>
      <c r="C1796" s="87">
        <v>7</v>
      </c>
      <c r="D1796" s="87">
        <v>7</v>
      </c>
      <c r="E1796" s="87">
        <v>7</v>
      </c>
      <c r="F1796" s="87">
        <v>7</v>
      </c>
      <c r="G1796" s="87">
        <v>7</v>
      </c>
      <c r="H1796" s="87">
        <v>7</v>
      </c>
      <c r="I1796" s="87">
        <v>8</v>
      </c>
      <c r="J1796" s="87">
        <v>8</v>
      </c>
      <c r="K1796" s="87">
        <v>8</v>
      </c>
      <c r="L1796" s="87">
        <v>8</v>
      </c>
      <c r="M1796" s="87">
        <v>8</v>
      </c>
      <c r="N1796" s="150">
        <f t="shared" si="2777"/>
        <v>89</v>
      </c>
      <c r="O1796" s="22">
        <f t="shared" si="2778"/>
        <v>7.416666666666667</v>
      </c>
      <c r="P1796" s="103"/>
      <c r="Q1796" s="103"/>
      <c r="R1796" s="103"/>
      <c r="S1796" s="103"/>
      <c r="T1796" s="103"/>
      <c r="U1796" s="103"/>
      <c r="V1796" s="103"/>
      <c r="W1796" s="103"/>
      <c r="X1796" s="103"/>
      <c r="Y1796" s="103"/>
      <c r="Z1796" s="103"/>
    </row>
    <row r="1797" spans="1:26" s="9" customFormat="1" ht="15.75">
      <c r="A1797" s="282" t="s">
        <v>591</v>
      </c>
      <c r="B1797" s="87">
        <v>4</v>
      </c>
      <c r="C1797" s="87">
        <v>4</v>
      </c>
      <c r="D1797" s="87">
        <v>4</v>
      </c>
      <c r="E1797" s="87">
        <v>4</v>
      </c>
      <c r="F1797" s="87">
        <v>4</v>
      </c>
      <c r="G1797" s="87">
        <v>5</v>
      </c>
      <c r="H1797" s="87">
        <v>5</v>
      </c>
      <c r="I1797" s="87">
        <v>4</v>
      </c>
      <c r="J1797" s="87">
        <v>4</v>
      </c>
      <c r="K1797" s="87">
        <v>4</v>
      </c>
      <c r="L1797" s="87">
        <v>4</v>
      </c>
      <c r="M1797" s="87">
        <v>4</v>
      </c>
      <c r="N1797" s="150">
        <f>SUM(B1797:M1797)</f>
        <v>50</v>
      </c>
      <c r="O1797" s="22">
        <f>IF(N1797=0,0,AVERAGE(B1797:M1797))</f>
        <v>4.166666666666667</v>
      </c>
      <c r="P1797" s="103"/>
      <c r="Q1797" s="103"/>
      <c r="R1797" s="103"/>
      <c r="S1797" s="103"/>
      <c r="T1797" s="103"/>
      <c r="U1797" s="103"/>
      <c r="V1797" s="103"/>
      <c r="W1797" s="103"/>
      <c r="X1797" s="103"/>
      <c r="Y1797" s="103"/>
      <c r="Z1797" s="103"/>
    </row>
    <row r="1798" spans="1:26" s="9" customFormat="1" ht="15.75">
      <c r="A1798" s="282" t="s">
        <v>361</v>
      </c>
      <c r="B1798" s="87">
        <v>2</v>
      </c>
      <c r="C1798" s="87">
        <v>2</v>
      </c>
      <c r="D1798" s="87">
        <v>2</v>
      </c>
      <c r="E1798" s="87">
        <v>2</v>
      </c>
      <c r="F1798" s="87">
        <v>2</v>
      </c>
      <c r="G1798" s="87">
        <v>2</v>
      </c>
      <c r="H1798" s="87">
        <v>2</v>
      </c>
      <c r="I1798" s="87">
        <v>2</v>
      </c>
      <c r="J1798" s="87">
        <v>2</v>
      </c>
      <c r="K1798" s="87">
        <v>2</v>
      </c>
      <c r="L1798" s="87">
        <v>2</v>
      </c>
      <c r="M1798" s="87">
        <v>2</v>
      </c>
      <c r="N1798" s="150">
        <f t="shared" si="2777"/>
        <v>24</v>
      </c>
      <c r="O1798" s="22">
        <f t="shared" si="2778"/>
        <v>2</v>
      </c>
      <c r="P1798" s="103"/>
      <c r="Q1798" s="103"/>
      <c r="R1798" s="103"/>
      <c r="S1798" s="103"/>
      <c r="T1798" s="103"/>
      <c r="U1798" s="103"/>
      <c r="V1798" s="103"/>
      <c r="W1798" s="103"/>
      <c r="X1798" s="103"/>
      <c r="Y1798" s="103"/>
      <c r="Z1798" s="103"/>
    </row>
    <row r="1799" spans="1:26" s="9" customFormat="1" ht="30">
      <c r="A1799" s="239" t="s">
        <v>368</v>
      </c>
      <c r="B1799" s="87">
        <v>3</v>
      </c>
      <c r="C1799" s="87">
        <v>3</v>
      </c>
      <c r="D1799" s="87">
        <v>3</v>
      </c>
      <c r="E1799" s="87">
        <v>3</v>
      </c>
      <c r="F1799" s="87">
        <v>3</v>
      </c>
      <c r="G1799" s="87">
        <v>2</v>
      </c>
      <c r="H1799" s="87">
        <v>3</v>
      </c>
      <c r="I1799" s="87">
        <v>3</v>
      </c>
      <c r="J1799" s="87">
        <v>3</v>
      </c>
      <c r="K1799" s="87">
        <v>3</v>
      </c>
      <c r="L1799" s="87">
        <v>3</v>
      </c>
      <c r="M1799" s="87">
        <v>3</v>
      </c>
      <c r="N1799" s="150">
        <f t="shared" si="2777"/>
        <v>35</v>
      </c>
      <c r="O1799" s="22">
        <f t="shared" si="2778"/>
        <v>2.9166666666666665</v>
      </c>
      <c r="P1799" s="103"/>
      <c r="Q1799" s="103"/>
      <c r="R1799" s="103"/>
      <c r="S1799" s="103"/>
      <c r="T1799" s="103"/>
      <c r="U1799" s="103"/>
      <c r="V1799" s="103"/>
      <c r="W1799" s="103"/>
      <c r="X1799" s="103"/>
      <c r="Y1799" s="103"/>
      <c r="Z1799" s="103"/>
    </row>
    <row r="1800" spans="1:26" s="9" customFormat="1" ht="15.75">
      <c r="A1800" s="282" t="s">
        <v>243</v>
      </c>
      <c r="B1800" s="87">
        <v>1</v>
      </c>
      <c r="C1800" s="87">
        <v>1</v>
      </c>
      <c r="D1800" s="87">
        <v>1</v>
      </c>
      <c r="E1800" s="87">
        <v>1</v>
      </c>
      <c r="F1800" s="87">
        <v>1</v>
      </c>
      <c r="G1800" s="87">
        <v>1</v>
      </c>
      <c r="H1800" s="87">
        <v>1</v>
      </c>
      <c r="I1800" s="87">
        <v>1</v>
      </c>
      <c r="J1800" s="87">
        <v>1</v>
      </c>
      <c r="K1800" s="87">
        <v>1</v>
      </c>
      <c r="L1800" s="87">
        <v>1</v>
      </c>
      <c r="M1800" s="87">
        <v>1</v>
      </c>
      <c r="N1800" s="150">
        <f t="shared" si="2777"/>
        <v>12</v>
      </c>
      <c r="O1800" s="22">
        <f t="shared" si="2778"/>
        <v>1</v>
      </c>
      <c r="P1800" s="103"/>
      <c r="Q1800" s="103"/>
      <c r="R1800" s="103"/>
      <c r="S1800" s="103"/>
      <c r="T1800" s="103"/>
      <c r="U1800" s="103"/>
      <c r="V1800" s="103"/>
      <c r="W1800" s="103"/>
      <c r="X1800" s="103"/>
      <c r="Y1800" s="103"/>
      <c r="Z1800" s="103"/>
    </row>
    <row r="1801" spans="1:26" s="9" customFormat="1" ht="15.75">
      <c r="A1801" s="282" t="s">
        <v>244</v>
      </c>
      <c r="B1801" s="87">
        <v>8</v>
      </c>
      <c r="C1801" s="87">
        <v>8</v>
      </c>
      <c r="D1801" s="87">
        <v>8</v>
      </c>
      <c r="E1801" s="87">
        <v>8</v>
      </c>
      <c r="F1801" s="87">
        <v>8</v>
      </c>
      <c r="G1801" s="87">
        <v>7</v>
      </c>
      <c r="H1801" s="87">
        <v>8</v>
      </c>
      <c r="I1801" s="87">
        <v>8</v>
      </c>
      <c r="J1801" s="87">
        <v>8</v>
      </c>
      <c r="K1801" s="87">
        <v>8</v>
      </c>
      <c r="L1801" s="87">
        <v>8</v>
      </c>
      <c r="M1801" s="87">
        <v>8</v>
      </c>
      <c r="N1801" s="150">
        <f t="shared" si="2777"/>
        <v>95</v>
      </c>
      <c r="O1801" s="22">
        <f t="shared" si="2778"/>
        <v>7.916666666666667</v>
      </c>
      <c r="P1801" s="103"/>
      <c r="Q1801" s="103"/>
      <c r="R1801" s="103"/>
      <c r="S1801" s="103"/>
      <c r="T1801" s="103"/>
      <c r="U1801" s="103"/>
      <c r="V1801" s="103"/>
      <c r="W1801" s="103"/>
      <c r="X1801" s="103"/>
      <c r="Y1801" s="103"/>
      <c r="Z1801" s="103"/>
    </row>
    <row r="1802" spans="1:26" s="9" customFormat="1" ht="15.75">
      <c r="A1802" s="282" t="s">
        <v>127</v>
      </c>
      <c r="B1802" s="87">
        <v>2</v>
      </c>
      <c r="C1802" s="87">
        <v>2</v>
      </c>
      <c r="D1802" s="87">
        <v>2</v>
      </c>
      <c r="E1802" s="87">
        <v>2</v>
      </c>
      <c r="F1802" s="87">
        <v>2</v>
      </c>
      <c r="G1802" s="87">
        <v>2</v>
      </c>
      <c r="H1802" s="87">
        <v>2</v>
      </c>
      <c r="I1802" s="87">
        <v>2</v>
      </c>
      <c r="J1802" s="87">
        <v>2</v>
      </c>
      <c r="K1802" s="87">
        <v>2</v>
      </c>
      <c r="L1802" s="87">
        <v>2</v>
      </c>
      <c r="M1802" s="87">
        <v>2</v>
      </c>
      <c r="N1802" s="150">
        <f t="shared" si="2777"/>
        <v>24</v>
      </c>
      <c r="O1802" s="22">
        <f t="shared" si="2778"/>
        <v>2</v>
      </c>
      <c r="P1802" s="103"/>
      <c r="Q1802" s="103"/>
      <c r="R1802" s="103"/>
      <c r="S1802" s="103"/>
      <c r="T1802" s="103"/>
      <c r="U1802" s="103"/>
      <c r="V1802" s="103"/>
      <c r="W1802" s="103"/>
      <c r="X1802" s="103"/>
      <c r="Y1802" s="103"/>
      <c r="Z1802" s="103"/>
    </row>
    <row r="1803" spans="1:26" s="9" customFormat="1" ht="15.75">
      <c r="A1803" s="282" t="s">
        <v>372</v>
      </c>
      <c r="B1803" s="87">
        <v>4</v>
      </c>
      <c r="C1803" s="87">
        <v>4</v>
      </c>
      <c r="D1803" s="87">
        <v>4</v>
      </c>
      <c r="E1803" s="87">
        <v>4</v>
      </c>
      <c r="F1803" s="87">
        <v>4</v>
      </c>
      <c r="G1803" s="87">
        <v>4</v>
      </c>
      <c r="H1803" s="87">
        <v>5</v>
      </c>
      <c r="I1803" s="87">
        <v>5</v>
      </c>
      <c r="J1803" s="87">
        <v>5</v>
      </c>
      <c r="K1803" s="87">
        <v>5</v>
      </c>
      <c r="L1803" s="87">
        <v>4</v>
      </c>
      <c r="M1803" s="87">
        <v>4</v>
      </c>
      <c r="N1803" s="150">
        <f t="shared" si="2777"/>
        <v>52</v>
      </c>
      <c r="O1803" s="22">
        <f t="shared" si="2778"/>
        <v>4.333333333333333</v>
      </c>
      <c r="P1803" s="103"/>
      <c r="Q1803" s="103"/>
      <c r="R1803" s="103"/>
      <c r="S1803" s="103"/>
      <c r="T1803" s="103"/>
      <c r="U1803" s="103"/>
      <c r="V1803" s="103"/>
      <c r="W1803" s="103"/>
      <c r="X1803" s="103"/>
      <c r="Y1803" s="103"/>
      <c r="Z1803" s="103"/>
    </row>
    <row r="1804" spans="1:26" s="9" customFormat="1" ht="15.75">
      <c r="A1804" s="282" t="s">
        <v>251</v>
      </c>
      <c r="B1804" s="87">
        <v>10</v>
      </c>
      <c r="C1804" s="87">
        <v>10</v>
      </c>
      <c r="D1804" s="87">
        <v>10</v>
      </c>
      <c r="E1804" s="87">
        <v>10</v>
      </c>
      <c r="F1804" s="87">
        <v>10</v>
      </c>
      <c r="G1804" s="87">
        <v>10</v>
      </c>
      <c r="H1804" s="87">
        <v>10</v>
      </c>
      <c r="I1804" s="87">
        <v>10</v>
      </c>
      <c r="J1804" s="87">
        <v>9</v>
      </c>
      <c r="K1804" s="87">
        <v>9</v>
      </c>
      <c r="L1804" s="87">
        <v>9</v>
      </c>
      <c r="M1804" s="87">
        <v>9</v>
      </c>
      <c r="N1804" s="150">
        <f t="shared" si="2777"/>
        <v>116</v>
      </c>
      <c r="O1804" s="22">
        <f t="shared" si="2778"/>
        <v>9.6666666666666661</v>
      </c>
      <c r="P1804" s="103"/>
      <c r="Q1804" s="103"/>
      <c r="R1804" s="103"/>
      <c r="S1804" s="103"/>
      <c r="T1804" s="103"/>
      <c r="U1804" s="103"/>
      <c r="V1804" s="103"/>
      <c r="W1804" s="103"/>
      <c r="X1804" s="103"/>
      <c r="Y1804" s="103"/>
      <c r="Z1804" s="103"/>
    </row>
    <row r="1805" spans="1:26" s="9" customFormat="1" ht="15.75">
      <c r="A1805" s="282" t="s">
        <v>369</v>
      </c>
      <c r="B1805" s="87">
        <v>1</v>
      </c>
      <c r="C1805" s="87">
        <v>1</v>
      </c>
      <c r="D1805" s="87">
        <v>1</v>
      </c>
      <c r="E1805" s="87">
        <v>1</v>
      </c>
      <c r="F1805" s="87">
        <v>1</v>
      </c>
      <c r="G1805" s="87">
        <v>2</v>
      </c>
      <c r="H1805" s="87">
        <v>2</v>
      </c>
      <c r="I1805" s="87">
        <v>2</v>
      </c>
      <c r="J1805" s="87">
        <v>2</v>
      </c>
      <c r="K1805" s="87">
        <v>2</v>
      </c>
      <c r="L1805" s="87">
        <v>2</v>
      </c>
      <c r="M1805" s="87">
        <v>2</v>
      </c>
      <c r="N1805" s="150">
        <f t="shared" si="2777"/>
        <v>19</v>
      </c>
      <c r="O1805" s="22">
        <f t="shared" si="2778"/>
        <v>1.5833333333333333</v>
      </c>
      <c r="P1805" s="103"/>
      <c r="Q1805" s="103"/>
      <c r="R1805" s="103"/>
      <c r="S1805" s="103"/>
      <c r="T1805" s="103"/>
      <c r="U1805" s="103"/>
      <c r="V1805" s="103"/>
      <c r="W1805" s="103"/>
      <c r="X1805" s="103"/>
      <c r="Y1805" s="103"/>
      <c r="Z1805" s="103"/>
    </row>
    <row r="1806" spans="1:26" s="9" customFormat="1" ht="30">
      <c r="A1806" s="239" t="s">
        <v>363</v>
      </c>
      <c r="B1806" s="87">
        <v>1</v>
      </c>
      <c r="C1806" s="87">
        <v>1</v>
      </c>
      <c r="D1806" s="87">
        <v>1</v>
      </c>
      <c r="E1806" s="87">
        <v>1</v>
      </c>
      <c r="F1806" s="87">
        <v>1</v>
      </c>
      <c r="G1806" s="87">
        <v>1</v>
      </c>
      <c r="H1806" s="87">
        <v>1</v>
      </c>
      <c r="I1806" s="87">
        <v>1</v>
      </c>
      <c r="J1806" s="87">
        <v>1</v>
      </c>
      <c r="K1806" s="87">
        <v>1</v>
      </c>
      <c r="L1806" s="87">
        <v>1</v>
      </c>
      <c r="M1806" s="87">
        <v>1</v>
      </c>
      <c r="N1806" s="150">
        <f t="shared" si="2777"/>
        <v>12</v>
      </c>
      <c r="O1806" s="22">
        <f t="shared" si="2778"/>
        <v>1</v>
      </c>
      <c r="P1806" s="103"/>
      <c r="Q1806" s="103"/>
      <c r="R1806" s="103"/>
      <c r="S1806" s="103"/>
      <c r="T1806" s="103"/>
      <c r="U1806" s="103"/>
      <c r="V1806" s="103"/>
      <c r="W1806" s="103"/>
      <c r="X1806" s="103"/>
      <c r="Y1806" s="103"/>
      <c r="Z1806" s="103"/>
    </row>
    <row r="1807" spans="1:26" s="9" customFormat="1" ht="30">
      <c r="A1807" s="239" t="s">
        <v>344</v>
      </c>
      <c r="B1807" s="87">
        <v>2</v>
      </c>
      <c r="C1807" s="87">
        <v>2</v>
      </c>
      <c r="D1807" s="87">
        <v>2</v>
      </c>
      <c r="E1807" s="87">
        <v>2</v>
      </c>
      <c r="F1807" s="87">
        <v>2</v>
      </c>
      <c r="G1807" s="87">
        <v>2</v>
      </c>
      <c r="H1807" s="87">
        <v>2</v>
      </c>
      <c r="I1807" s="87">
        <v>2</v>
      </c>
      <c r="J1807" s="87">
        <v>2</v>
      </c>
      <c r="K1807" s="87">
        <v>2</v>
      </c>
      <c r="L1807" s="87">
        <v>2</v>
      </c>
      <c r="M1807" s="87">
        <v>2</v>
      </c>
      <c r="N1807" s="150">
        <f t="shared" si="2777"/>
        <v>24</v>
      </c>
      <c r="O1807" s="22">
        <f t="shared" si="2778"/>
        <v>2</v>
      </c>
      <c r="P1807" s="103"/>
      <c r="Q1807" s="103"/>
      <c r="R1807" s="103"/>
      <c r="S1807" s="103"/>
      <c r="T1807" s="103"/>
      <c r="U1807" s="103"/>
      <c r="V1807" s="103"/>
      <c r="W1807" s="103"/>
      <c r="X1807" s="103"/>
      <c r="Y1807" s="103"/>
      <c r="Z1807" s="103"/>
    </row>
    <row r="1808" spans="1:26" s="9" customFormat="1" ht="15.75">
      <c r="A1808" s="282" t="s">
        <v>253</v>
      </c>
      <c r="B1808" s="87">
        <v>2</v>
      </c>
      <c r="C1808" s="87">
        <v>2</v>
      </c>
      <c r="D1808" s="87">
        <v>2</v>
      </c>
      <c r="E1808" s="87">
        <v>2</v>
      </c>
      <c r="F1808" s="87">
        <v>2</v>
      </c>
      <c r="G1808" s="87">
        <v>2</v>
      </c>
      <c r="H1808" s="87">
        <v>2</v>
      </c>
      <c r="I1808" s="87">
        <v>2</v>
      </c>
      <c r="J1808" s="87">
        <v>2</v>
      </c>
      <c r="K1808" s="87">
        <v>2</v>
      </c>
      <c r="L1808" s="87">
        <v>2</v>
      </c>
      <c r="M1808" s="87">
        <v>2</v>
      </c>
      <c r="N1808" s="150">
        <f t="shared" si="2777"/>
        <v>24</v>
      </c>
      <c r="O1808" s="22">
        <f t="shared" si="2778"/>
        <v>2</v>
      </c>
      <c r="P1808" s="103"/>
      <c r="Q1808" s="103"/>
      <c r="R1808" s="103"/>
      <c r="S1808" s="103"/>
      <c r="T1808" s="103"/>
      <c r="U1808" s="103"/>
      <c r="V1808" s="103"/>
      <c r="W1808" s="103"/>
      <c r="X1808" s="103"/>
      <c r="Y1808" s="103"/>
      <c r="Z1808" s="103"/>
    </row>
    <row r="1809" spans="1:26" s="9" customFormat="1" ht="45">
      <c r="A1809" s="239" t="s">
        <v>373</v>
      </c>
      <c r="B1809" s="87">
        <v>2</v>
      </c>
      <c r="C1809" s="87">
        <v>2</v>
      </c>
      <c r="D1809" s="87">
        <v>2</v>
      </c>
      <c r="E1809" s="87">
        <v>2</v>
      </c>
      <c r="F1809" s="87">
        <v>2</v>
      </c>
      <c r="G1809" s="87">
        <v>2</v>
      </c>
      <c r="H1809" s="87">
        <v>2</v>
      </c>
      <c r="I1809" s="87">
        <v>2</v>
      </c>
      <c r="J1809" s="87">
        <v>2</v>
      </c>
      <c r="K1809" s="87">
        <v>2</v>
      </c>
      <c r="L1809" s="87">
        <v>2</v>
      </c>
      <c r="M1809" s="87">
        <v>2</v>
      </c>
      <c r="N1809" s="150">
        <f t="shared" si="2777"/>
        <v>24</v>
      </c>
      <c r="O1809" s="22">
        <f t="shared" si="2778"/>
        <v>2</v>
      </c>
      <c r="P1809" s="103"/>
      <c r="Q1809" s="103"/>
      <c r="R1809" s="103"/>
      <c r="S1809" s="103"/>
      <c r="T1809" s="103"/>
      <c r="U1809" s="103"/>
      <c r="V1809" s="103"/>
      <c r="W1809" s="103"/>
      <c r="X1809" s="103"/>
      <c r="Y1809" s="103"/>
      <c r="Z1809" s="103"/>
    </row>
    <row r="1810" spans="1:26" s="9" customFormat="1" ht="15.75">
      <c r="A1810" s="282" t="s">
        <v>365</v>
      </c>
      <c r="B1810" s="87">
        <v>39</v>
      </c>
      <c r="C1810" s="87">
        <v>39</v>
      </c>
      <c r="D1810" s="87">
        <v>37</v>
      </c>
      <c r="E1810" s="87">
        <v>39</v>
      </c>
      <c r="F1810" s="87">
        <v>40</v>
      </c>
      <c r="G1810" s="87">
        <v>38</v>
      </c>
      <c r="H1810" s="87">
        <v>40</v>
      </c>
      <c r="I1810" s="87">
        <v>42</v>
      </c>
      <c r="J1810" s="87">
        <v>42</v>
      </c>
      <c r="K1810" s="87">
        <v>41</v>
      </c>
      <c r="L1810" s="87">
        <v>41</v>
      </c>
      <c r="M1810" s="87">
        <v>41</v>
      </c>
      <c r="N1810" s="150">
        <f t="shared" si="2777"/>
        <v>479</v>
      </c>
      <c r="O1810" s="22">
        <f t="shared" si="2778"/>
        <v>39.916666666666664</v>
      </c>
      <c r="P1810" s="103"/>
      <c r="Q1810" s="103"/>
      <c r="R1810" s="103"/>
      <c r="S1810" s="103"/>
      <c r="T1810" s="103"/>
      <c r="U1810" s="103"/>
      <c r="V1810" s="103"/>
      <c r="W1810" s="103"/>
      <c r="X1810" s="103"/>
      <c r="Y1810" s="103"/>
      <c r="Z1810" s="103"/>
    </row>
    <row r="1811" spans="1:26" s="9" customFormat="1" ht="15.75">
      <c r="A1811" s="282" t="s">
        <v>362</v>
      </c>
      <c r="B1811" s="87">
        <v>27</v>
      </c>
      <c r="C1811" s="87">
        <v>28</v>
      </c>
      <c r="D1811" s="87">
        <v>27</v>
      </c>
      <c r="E1811" s="87">
        <v>27</v>
      </c>
      <c r="F1811" s="87">
        <v>27</v>
      </c>
      <c r="G1811" s="87">
        <v>26</v>
      </c>
      <c r="H1811" s="87">
        <v>26</v>
      </c>
      <c r="I1811" s="87">
        <v>24</v>
      </c>
      <c r="J1811" s="87">
        <v>25</v>
      </c>
      <c r="K1811" s="87">
        <v>25</v>
      </c>
      <c r="L1811" s="87">
        <v>24</v>
      </c>
      <c r="M1811" s="87">
        <v>24</v>
      </c>
      <c r="N1811" s="150">
        <f t="shared" si="2777"/>
        <v>310</v>
      </c>
      <c r="O1811" s="22">
        <f t="shared" si="2778"/>
        <v>25.833333333333332</v>
      </c>
      <c r="P1811" s="103"/>
      <c r="Q1811" s="103"/>
      <c r="R1811" s="103"/>
      <c r="S1811" s="103"/>
      <c r="T1811" s="103"/>
      <c r="U1811" s="103"/>
      <c r="V1811" s="103"/>
      <c r="W1811" s="103"/>
      <c r="X1811" s="103"/>
      <c r="Y1811" s="103"/>
      <c r="Z1811" s="103"/>
    </row>
    <row r="1812" spans="1:26" s="9" customFormat="1" ht="15.75">
      <c r="A1812" s="282" t="s">
        <v>364</v>
      </c>
      <c r="B1812" s="87">
        <v>6</v>
      </c>
      <c r="C1812" s="87">
        <v>6</v>
      </c>
      <c r="D1812" s="87">
        <v>6</v>
      </c>
      <c r="E1812" s="87">
        <v>6</v>
      </c>
      <c r="F1812" s="87">
        <v>6</v>
      </c>
      <c r="G1812" s="87">
        <v>6</v>
      </c>
      <c r="H1812" s="87">
        <v>6</v>
      </c>
      <c r="I1812" s="87">
        <v>6</v>
      </c>
      <c r="J1812" s="87">
        <v>6</v>
      </c>
      <c r="K1812" s="87">
        <v>6</v>
      </c>
      <c r="L1812" s="87">
        <v>6</v>
      </c>
      <c r="M1812" s="87">
        <v>6</v>
      </c>
      <c r="N1812" s="150">
        <f t="shared" si="2777"/>
        <v>72</v>
      </c>
      <c r="O1812" s="22">
        <f t="shared" si="2778"/>
        <v>6</v>
      </c>
      <c r="P1812" s="103"/>
      <c r="Q1812" s="103"/>
      <c r="R1812" s="103"/>
      <c r="S1812" s="103"/>
      <c r="T1812" s="103"/>
      <c r="U1812" s="103"/>
      <c r="V1812" s="103"/>
      <c r="W1812" s="103"/>
      <c r="X1812" s="103"/>
      <c r="Y1812" s="103"/>
      <c r="Z1812" s="103"/>
    </row>
    <row r="1813" spans="1:26" s="9" customFormat="1" ht="15.75">
      <c r="A1813" s="282" t="s">
        <v>422</v>
      </c>
      <c r="B1813" s="87">
        <v>107</v>
      </c>
      <c r="C1813" s="87">
        <v>105</v>
      </c>
      <c r="D1813" s="87">
        <v>105</v>
      </c>
      <c r="E1813" s="87">
        <v>104</v>
      </c>
      <c r="F1813" s="87">
        <v>105</v>
      </c>
      <c r="G1813" s="87">
        <v>104</v>
      </c>
      <c r="H1813" s="87">
        <v>107</v>
      </c>
      <c r="I1813" s="87">
        <v>103</v>
      </c>
      <c r="J1813" s="87">
        <v>105</v>
      </c>
      <c r="K1813" s="87">
        <v>106</v>
      </c>
      <c r="L1813" s="87">
        <v>108</v>
      </c>
      <c r="M1813" s="87">
        <v>109</v>
      </c>
      <c r="N1813" s="150">
        <f t="shared" si="2777"/>
        <v>1268</v>
      </c>
      <c r="O1813" s="22">
        <f t="shared" si="2778"/>
        <v>105.66666666666667</v>
      </c>
      <c r="P1813" s="103"/>
      <c r="Q1813" s="103"/>
      <c r="R1813" s="103"/>
      <c r="S1813" s="103"/>
      <c r="T1813" s="103"/>
      <c r="U1813" s="103"/>
      <c r="V1813" s="103"/>
      <c r="W1813" s="103"/>
      <c r="X1813" s="103"/>
      <c r="Y1813" s="103"/>
      <c r="Z1813" s="103"/>
    </row>
    <row r="1814" spans="1:26" s="9" customFormat="1" ht="15.75">
      <c r="A1814" s="282" t="s">
        <v>417</v>
      </c>
      <c r="B1814" s="87">
        <v>0</v>
      </c>
      <c r="C1814" s="87">
        <v>0</v>
      </c>
      <c r="D1814" s="87">
        <v>0</v>
      </c>
      <c r="E1814" s="87">
        <v>0</v>
      </c>
      <c r="F1814" s="87">
        <v>0</v>
      </c>
      <c r="G1814" s="87">
        <v>0</v>
      </c>
      <c r="H1814" s="87">
        <v>0</v>
      </c>
      <c r="I1814" s="87">
        <v>0</v>
      </c>
      <c r="J1814" s="87">
        <v>0</v>
      </c>
      <c r="K1814" s="87">
        <v>0</v>
      </c>
      <c r="L1814" s="87">
        <v>0</v>
      </c>
      <c r="M1814" s="87">
        <v>0</v>
      </c>
      <c r="N1814" s="150">
        <f t="shared" si="2777"/>
        <v>0</v>
      </c>
      <c r="O1814" s="22">
        <f t="shared" si="2778"/>
        <v>0</v>
      </c>
      <c r="P1814" s="103"/>
      <c r="Q1814" s="103"/>
      <c r="R1814" s="103"/>
      <c r="S1814" s="103"/>
      <c r="T1814" s="103"/>
      <c r="U1814" s="103"/>
      <c r="V1814" s="103"/>
      <c r="W1814" s="103"/>
      <c r="X1814" s="103"/>
      <c r="Y1814" s="103"/>
      <c r="Z1814" s="103"/>
    </row>
    <row r="1815" spans="1:26" s="9" customFormat="1" ht="15.75">
      <c r="A1815" s="282" t="s">
        <v>370</v>
      </c>
      <c r="B1815" s="87">
        <v>2</v>
      </c>
      <c r="C1815" s="87">
        <v>2</v>
      </c>
      <c r="D1815" s="87">
        <v>2</v>
      </c>
      <c r="E1815" s="87">
        <v>2</v>
      </c>
      <c r="F1815" s="87">
        <v>2</v>
      </c>
      <c r="G1815" s="87">
        <v>2</v>
      </c>
      <c r="H1815" s="87">
        <v>2</v>
      </c>
      <c r="I1815" s="87">
        <v>2</v>
      </c>
      <c r="J1815" s="87">
        <v>2</v>
      </c>
      <c r="K1815" s="87">
        <v>2</v>
      </c>
      <c r="L1815" s="87">
        <v>2</v>
      </c>
      <c r="M1815" s="87">
        <v>2</v>
      </c>
      <c r="N1815" s="150">
        <f t="shared" si="2777"/>
        <v>24</v>
      </c>
      <c r="O1815" s="22">
        <f t="shared" si="2778"/>
        <v>2</v>
      </c>
      <c r="P1815" s="103"/>
      <c r="Q1815" s="103"/>
      <c r="R1815" s="103"/>
      <c r="S1815" s="103"/>
      <c r="T1815" s="103"/>
      <c r="U1815" s="103"/>
      <c r="V1815" s="103"/>
      <c r="W1815" s="103"/>
      <c r="X1815" s="103"/>
      <c r="Y1815" s="103"/>
      <c r="Z1815" s="103"/>
    </row>
    <row r="1816" spans="1:26" s="9" customFormat="1" ht="15.75">
      <c r="A1816" s="80" t="s">
        <v>256</v>
      </c>
      <c r="B1816" s="24">
        <f t="shared" ref="B1816:C1816" si="2779">SUM(B1778:B1815)</f>
        <v>341</v>
      </c>
      <c r="C1816" s="24">
        <f t="shared" si="2779"/>
        <v>341</v>
      </c>
      <c r="D1816" s="24">
        <f t="shared" ref="D1816:K1816" si="2780">SUM(D1778:D1815)</f>
        <v>337</v>
      </c>
      <c r="E1816" s="24">
        <f t="shared" si="2780"/>
        <v>337</v>
      </c>
      <c r="F1816" s="24">
        <f t="shared" si="2780"/>
        <v>340</v>
      </c>
      <c r="G1816" s="24">
        <f t="shared" si="2780"/>
        <v>335</v>
      </c>
      <c r="H1816" s="24">
        <f t="shared" si="2780"/>
        <v>346</v>
      </c>
      <c r="I1816" s="24">
        <f t="shared" si="2780"/>
        <v>340</v>
      </c>
      <c r="J1816" s="24">
        <f t="shared" si="2780"/>
        <v>342</v>
      </c>
      <c r="K1816" s="24">
        <f t="shared" si="2780"/>
        <v>339</v>
      </c>
      <c r="L1816" s="24">
        <f t="shared" ref="L1816:M1816" si="2781">SUM(L1778:L1815)</f>
        <v>339</v>
      </c>
      <c r="M1816" s="24">
        <f t="shared" si="2781"/>
        <v>338</v>
      </c>
      <c r="N1816" s="144">
        <f>SUM(N1778:N1815)</f>
        <v>4075</v>
      </c>
      <c r="O1816" s="25">
        <f>SUM(O1778:O1815)</f>
        <v>339.58333333333337</v>
      </c>
      <c r="P1816" s="103"/>
      <c r="Q1816" s="103"/>
      <c r="R1816" s="103"/>
      <c r="S1816" s="103"/>
      <c r="T1816" s="103"/>
      <c r="U1816" s="103"/>
      <c r="V1816" s="103"/>
      <c r="W1816" s="103"/>
      <c r="X1816" s="103"/>
      <c r="Y1816" s="103"/>
      <c r="Z1816" s="103"/>
    </row>
    <row r="1817" spans="1:26" s="9" customFormat="1">
      <c r="A1817" s="26"/>
      <c r="B1817" s="27"/>
      <c r="C1817" s="27"/>
      <c r="D1817" s="27"/>
      <c r="E1817" s="27"/>
      <c r="F1817" s="27"/>
      <c r="G1817" s="28"/>
      <c r="H1817" s="28"/>
      <c r="I1817" s="28"/>
      <c r="J1817" s="28"/>
      <c r="K1817" s="28"/>
      <c r="L1817" s="28"/>
      <c r="M1817" s="28"/>
      <c r="N1817" s="151"/>
      <c r="O1817" s="16"/>
      <c r="P1817" s="103"/>
      <c r="Q1817" s="103"/>
      <c r="R1817" s="103"/>
      <c r="S1817" s="103"/>
      <c r="T1817" s="103"/>
      <c r="U1817" s="103"/>
      <c r="V1817" s="103"/>
      <c r="W1817" s="103"/>
      <c r="X1817" s="103"/>
      <c r="Y1817" s="103"/>
      <c r="Z1817" s="103"/>
    </row>
    <row r="1818" spans="1:26" s="9" customFormat="1" ht="15.75">
      <c r="A1818" s="37" t="s">
        <v>257</v>
      </c>
      <c r="B1818" s="21">
        <v>19</v>
      </c>
      <c r="C1818" s="21">
        <v>19</v>
      </c>
      <c r="D1818" s="21">
        <v>19</v>
      </c>
      <c r="E1818" s="21">
        <v>19</v>
      </c>
      <c r="F1818" s="21">
        <v>19</v>
      </c>
      <c r="G1818" s="21">
        <v>19</v>
      </c>
      <c r="H1818" s="21">
        <v>19</v>
      </c>
      <c r="I1818" s="21">
        <v>19</v>
      </c>
      <c r="J1818" s="21">
        <v>19</v>
      </c>
      <c r="K1818" s="21">
        <v>19</v>
      </c>
      <c r="L1818" s="21">
        <v>19</v>
      </c>
      <c r="M1818" s="21">
        <v>19</v>
      </c>
      <c r="N1818" s="150">
        <f>SUM(B1818:M1818)</f>
        <v>228</v>
      </c>
      <c r="O1818" s="22">
        <f>IF(N1818=0,0,AVERAGE(B1818:M1818))</f>
        <v>19</v>
      </c>
      <c r="P1818" s="103"/>
      <c r="Q1818" s="103"/>
      <c r="R1818" s="103"/>
      <c r="S1818" s="103"/>
      <c r="T1818" s="103"/>
      <c r="U1818" s="103"/>
      <c r="V1818" s="103"/>
      <c r="W1818" s="103"/>
      <c r="X1818" s="103"/>
      <c r="Y1818" s="103"/>
      <c r="Z1818" s="103"/>
    </row>
    <row r="1819" spans="1:26" s="9" customFormat="1" ht="15.75">
      <c r="A1819" s="62" t="s">
        <v>258</v>
      </c>
      <c r="B1819" s="24">
        <f t="shared" ref="B1819:C1819" si="2782">IF(B1818=0,"",B1818)</f>
        <v>19</v>
      </c>
      <c r="C1819" s="24">
        <f t="shared" si="2782"/>
        <v>19</v>
      </c>
      <c r="D1819" s="24">
        <f t="shared" ref="D1819:E1819" si="2783">IF(D1818=0,"",D1818)</f>
        <v>19</v>
      </c>
      <c r="E1819" s="24">
        <f t="shared" si="2783"/>
        <v>19</v>
      </c>
      <c r="F1819" s="24">
        <f t="shared" ref="F1819:G1819" si="2784">IF(F1818=0,"",F1818)</f>
        <v>19</v>
      </c>
      <c r="G1819" s="24">
        <f t="shared" si="2784"/>
        <v>19</v>
      </c>
      <c r="H1819" s="24">
        <f t="shared" ref="H1819:I1819" si="2785">IF(H1818=0,"",H1818)</f>
        <v>19</v>
      </c>
      <c r="I1819" s="24">
        <f t="shared" si="2785"/>
        <v>19</v>
      </c>
      <c r="J1819" s="24">
        <f t="shared" ref="J1819:K1819" si="2786">IF(J1818=0,"",J1818)</f>
        <v>19</v>
      </c>
      <c r="K1819" s="24">
        <f t="shared" si="2786"/>
        <v>19</v>
      </c>
      <c r="L1819" s="24">
        <f t="shared" ref="L1819:M1819" si="2787">IF(L1818=0,"",L1818)</f>
        <v>19</v>
      </c>
      <c r="M1819" s="24">
        <f t="shared" si="2787"/>
        <v>19</v>
      </c>
      <c r="N1819" s="144">
        <f>SUM(B1819:M1819)</f>
        <v>228</v>
      </c>
      <c r="O1819" s="25">
        <f>IF(N1819=0,0,AVERAGE(B1819:M1819))</f>
        <v>19</v>
      </c>
      <c r="P1819" s="103"/>
      <c r="Q1819" s="103"/>
      <c r="R1819" s="103"/>
      <c r="S1819" s="103"/>
      <c r="T1819" s="103"/>
      <c r="U1819" s="103"/>
      <c r="V1819" s="103"/>
      <c r="W1819" s="103"/>
      <c r="X1819" s="103"/>
      <c r="Y1819" s="103"/>
      <c r="Z1819" s="103"/>
    </row>
    <row r="1820" spans="1:26" s="9" customFormat="1" ht="15.75">
      <c r="A1820" s="62" t="s">
        <v>259</v>
      </c>
      <c r="B1820" s="24">
        <f t="shared" ref="B1820:C1820" si="2788">SUM(B1816,B1819)</f>
        <v>360</v>
      </c>
      <c r="C1820" s="24">
        <f t="shared" si="2788"/>
        <v>360</v>
      </c>
      <c r="D1820" s="24">
        <f t="shared" ref="D1820:E1820" si="2789">SUM(D1816,D1819)</f>
        <v>356</v>
      </c>
      <c r="E1820" s="24">
        <f t="shared" si="2789"/>
        <v>356</v>
      </c>
      <c r="F1820" s="24">
        <f t="shared" ref="F1820:G1820" si="2790">SUM(F1816,F1819)</f>
        <v>359</v>
      </c>
      <c r="G1820" s="24">
        <f t="shared" si="2790"/>
        <v>354</v>
      </c>
      <c r="H1820" s="24">
        <f t="shared" ref="H1820:I1820" si="2791">SUM(H1816,H1819)</f>
        <v>365</v>
      </c>
      <c r="I1820" s="24">
        <f t="shared" si="2791"/>
        <v>359</v>
      </c>
      <c r="J1820" s="24">
        <f t="shared" ref="J1820:K1820" si="2792">SUM(J1816,J1819)</f>
        <v>361</v>
      </c>
      <c r="K1820" s="24">
        <f t="shared" si="2792"/>
        <v>358</v>
      </c>
      <c r="L1820" s="24">
        <f t="shared" ref="L1820:M1820" si="2793">SUM(L1816,L1819)</f>
        <v>358</v>
      </c>
      <c r="M1820" s="24">
        <f t="shared" si="2793"/>
        <v>357</v>
      </c>
      <c r="N1820" s="144">
        <f>SUM(N1816,N1819)</f>
        <v>4303</v>
      </c>
      <c r="O1820" s="25">
        <f>SUM(O1816,O1819)</f>
        <v>358.58333333333337</v>
      </c>
      <c r="P1820" s="103"/>
      <c r="Q1820" s="103"/>
      <c r="R1820" s="103"/>
      <c r="S1820" s="103"/>
      <c r="T1820" s="103"/>
      <c r="U1820" s="103"/>
      <c r="V1820" s="103"/>
      <c r="W1820" s="103"/>
      <c r="X1820" s="103"/>
      <c r="Y1820" s="103"/>
      <c r="Z1820" s="103"/>
    </row>
    <row r="1821" spans="1:26" s="9" customFormat="1">
      <c r="A1821" s="126"/>
      <c r="B1821" s="27"/>
      <c r="C1821" s="27"/>
      <c r="D1821" s="27"/>
      <c r="E1821" s="28"/>
      <c r="F1821" s="28"/>
      <c r="G1821" s="28"/>
      <c r="H1821" s="28"/>
      <c r="I1821" s="28"/>
      <c r="J1821" s="28"/>
      <c r="K1821" s="28"/>
      <c r="L1821" s="28"/>
      <c r="M1821" s="28"/>
      <c r="N1821" s="151"/>
      <c r="O1821" s="16"/>
      <c r="P1821" s="103"/>
      <c r="Q1821" s="103"/>
      <c r="R1821" s="103"/>
      <c r="S1821" s="103"/>
      <c r="T1821" s="103"/>
      <c r="U1821" s="103"/>
      <c r="V1821" s="103"/>
      <c r="W1821" s="103"/>
      <c r="X1821" s="103"/>
      <c r="Y1821" s="103"/>
      <c r="Z1821" s="103"/>
    </row>
    <row r="1822" spans="1:26" s="9" customFormat="1" ht="15.75">
      <c r="A1822" s="66" t="s">
        <v>645</v>
      </c>
      <c r="B1822" s="81"/>
      <c r="C1822" s="81"/>
      <c r="D1822" s="81"/>
      <c r="E1822" s="81"/>
      <c r="F1822" s="81"/>
      <c r="G1822" s="81"/>
      <c r="H1822" s="81"/>
      <c r="I1822" s="81"/>
      <c r="J1822" s="81"/>
      <c r="K1822" s="81"/>
      <c r="L1822" s="81"/>
      <c r="M1822" s="81"/>
      <c r="N1822" s="165"/>
      <c r="O1822" s="82"/>
      <c r="P1822" s="103"/>
      <c r="Q1822" s="103"/>
      <c r="R1822" s="103"/>
      <c r="S1822" s="103"/>
      <c r="T1822" s="103"/>
      <c r="U1822" s="103"/>
      <c r="V1822" s="103"/>
      <c r="W1822" s="103"/>
      <c r="X1822" s="103"/>
      <c r="Y1822" s="103"/>
      <c r="Z1822" s="103"/>
    </row>
    <row r="1823" spans="1:26" s="9" customFormat="1" ht="15.75">
      <c r="A1823" s="37" t="s">
        <v>260</v>
      </c>
      <c r="B1823" s="21">
        <v>13</v>
      </c>
      <c r="C1823" s="21">
        <v>13</v>
      </c>
      <c r="D1823" s="21">
        <v>13</v>
      </c>
      <c r="E1823" s="21">
        <v>13</v>
      </c>
      <c r="F1823" s="21">
        <v>13</v>
      </c>
      <c r="G1823" s="21">
        <v>12</v>
      </c>
      <c r="H1823" s="21">
        <v>12</v>
      </c>
      <c r="I1823" s="21">
        <v>12</v>
      </c>
      <c r="J1823" s="21">
        <v>12</v>
      </c>
      <c r="K1823" s="21">
        <v>12</v>
      </c>
      <c r="L1823" s="21">
        <v>12</v>
      </c>
      <c r="M1823" s="21">
        <v>12</v>
      </c>
      <c r="N1823" s="150">
        <f t="shared" ref="N1823:N1830" si="2794">SUM(B1823:M1823)</f>
        <v>149</v>
      </c>
      <c r="O1823" s="22">
        <f t="shared" ref="O1823:O1830" si="2795">IF(N1823=0,0,AVERAGE(B1823:M1823))</f>
        <v>12.416666666666666</v>
      </c>
      <c r="P1823" s="103"/>
      <c r="Q1823" s="103"/>
      <c r="R1823" s="103"/>
      <c r="S1823" s="103"/>
      <c r="T1823" s="103"/>
      <c r="U1823" s="103"/>
      <c r="V1823" s="103"/>
      <c r="W1823" s="103"/>
      <c r="X1823" s="103"/>
      <c r="Y1823" s="103"/>
      <c r="Z1823" s="103"/>
    </row>
    <row r="1824" spans="1:26" s="9" customFormat="1" ht="15.75">
      <c r="A1824" s="37" t="s">
        <v>261</v>
      </c>
      <c r="B1824" s="21">
        <v>80</v>
      </c>
      <c r="C1824" s="21">
        <v>80</v>
      </c>
      <c r="D1824" s="21">
        <v>79</v>
      </c>
      <c r="E1824" s="21">
        <v>79</v>
      </c>
      <c r="F1824" s="21">
        <v>79</v>
      </c>
      <c r="G1824" s="21">
        <v>78</v>
      </c>
      <c r="H1824" s="21">
        <v>79</v>
      </c>
      <c r="I1824" s="21">
        <v>80</v>
      </c>
      <c r="J1824" s="21">
        <v>80</v>
      </c>
      <c r="K1824" s="21">
        <v>78</v>
      </c>
      <c r="L1824" s="21">
        <v>79</v>
      </c>
      <c r="M1824" s="21">
        <v>78</v>
      </c>
      <c r="N1824" s="150">
        <f t="shared" si="2794"/>
        <v>949</v>
      </c>
      <c r="O1824" s="22">
        <f t="shared" si="2795"/>
        <v>79.083333333333329</v>
      </c>
      <c r="P1824" s="103"/>
      <c r="Q1824" s="103"/>
      <c r="R1824" s="103"/>
      <c r="S1824" s="103"/>
      <c r="T1824" s="103"/>
      <c r="U1824" s="103"/>
      <c r="V1824" s="103"/>
      <c r="W1824" s="103"/>
      <c r="X1824" s="103"/>
      <c r="Y1824" s="103"/>
      <c r="Z1824" s="103"/>
    </row>
    <row r="1825" spans="1:26" s="9" customFormat="1" ht="15.75">
      <c r="A1825" s="37" t="s">
        <v>262</v>
      </c>
      <c r="B1825" s="21">
        <v>7</v>
      </c>
      <c r="C1825" s="21">
        <v>7</v>
      </c>
      <c r="D1825" s="21">
        <v>8</v>
      </c>
      <c r="E1825" s="21">
        <v>8</v>
      </c>
      <c r="F1825" s="21">
        <v>8</v>
      </c>
      <c r="G1825" s="21">
        <v>9</v>
      </c>
      <c r="H1825" s="21">
        <v>15</v>
      </c>
      <c r="I1825" s="21">
        <v>10</v>
      </c>
      <c r="J1825" s="21">
        <v>10</v>
      </c>
      <c r="K1825" s="21">
        <v>10</v>
      </c>
      <c r="L1825" s="21">
        <v>10</v>
      </c>
      <c r="M1825" s="21">
        <v>10</v>
      </c>
      <c r="N1825" s="150">
        <f t="shared" si="2794"/>
        <v>112</v>
      </c>
      <c r="O1825" s="22">
        <f t="shared" si="2795"/>
        <v>9.3333333333333339</v>
      </c>
      <c r="P1825" s="103"/>
      <c r="Q1825" s="103"/>
      <c r="R1825" s="103"/>
      <c r="S1825" s="103"/>
      <c r="T1825" s="103"/>
      <c r="U1825" s="103"/>
      <c r="V1825" s="103"/>
      <c r="W1825" s="103"/>
      <c r="X1825" s="103"/>
      <c r="Y1825" s="103"/>
      <c r="Z1825" s="103"/>
    </row>
    <row r="1826" spans="1:26" s="9" customFormat="1" ht="15.75">
      <c r="A1826" s="37" t="s">
        <v>263</v>
      </c>
      <c r="B1826" s="21">
        <v>214</v>
      </c>
      <c r="C1826" s="21">
        <v>214</v>
      </c>
      <c r="D1826" s="21">
        <v>210</v>
      </c>
      <c r="E1826" s="21">
        <v>210</v>
      </c>
      <c r="F1826" s="21">
        <v>213</v>
      </c>
      <c r="G1826" s="21">
        <v>209</v>
      </c>
      <c r="H1826" s="21">
        <v>213</v>
      </c>
      <c r="I1826" s="21">
        <v>211</v>
      </c>
      <c r="J1826" s="21">
        <v>213</v>
      </c>
      <c r="K1826" s="21">
        <v>211</v>
      </c>
      <c r="L1826" s="21">
        <v>211</v>
      </c>
      <c r="M1826" s="21">
        <v>211</v>
      </c>
      <c r="N1826" s="150">
        <f t="shared" si="2794"/>
        <v>2540</v>
      </c>
      <c r="O1826" s="22">
        <f t="shared" si="2795"/>
        <v>211.66666666666666</v>
      </c>
      <c r="P1826" s="103"/>
      <c r="Q1826" s="103"/>
      <c r="R1826" s="103"/>
      <c r="S1826" s="103"/>
      <c r="T1826" s="103"/>
      <c r="U1826" s="103"/>
      <c r="V1826" s="103"/>
      <c r="W1826" s="103"/>
      <c r="X1826" s="103"/>
      <c r="Y1826" s="103"/>
      <c r="Z1826" s="103"/>
    </row>
    <row r="1827" spans="1:26" s="9" customFormat="1" ht="15.75">
      <c r="A1827" s="37" t="s">
        <v>264</v>
      </c>
      <c r="B1827" s="21">
        <v>5</v>
      </c>
      <c r="C1827" s="21">
        <v>5</v>
      </c>
      <c r="D1827" s="21">
        <v>5</v>
      </c>
      <c r="E1827" s="21">
        <v>5</v>
      </c>
      <c r="F1827" s="21">
        <v>5</v>
      </c>
      <c r="G1827" s="21">
        <v>5</v>
      </c>
      <c r="H1827" s="21">
        <v>5</v>
      </c>
      <c r="I1827" s="21">
        <v>5</v>
      </c>
      <c r="J1827" s="21">
        <v>5</v>
      </c>
      <c r="K1827" s="21">
        <v>5</v>
      </c>
      <c r="L1827" s="21">
        <v>5</v>
      </c>
      <c r="M1827" s="21">
        <v>5</v>
      </c>
      <c r="N1827" s="150">
        <f t="shared" si="2794"/>
        <v>60</v>
      </c>
      <c r="O1827" s="22">
        <f t="shared" si="2795"/>
        <v>5</v>
      </c>
      <c r="P1827" s="103"/>
      <c r="Q1827" s="103"/>
      <c r="R1827" s="103"/>
      <c r="S1827" s="103"/>
      <c r="T1827" s="103"/>
      <c r="U1827" s="103"/>
      <c r="V1827" s="103"/>
      <c r="W1827" s="103"/>
      <c r="X1827" s="103"/>
      <c r="Y1827" s="103"/>
      <c r="Z1827" s="103"/>
    </row>
    <row r="1828" spans="1:26" s="9" customFormat="1" ht="15.75">
      <c r="A1828" s="37" t="s">
        <v>265</v>
      </c>
      <c r="B1828" s="21">
        <v>17</v>
      </c>
      <c r="C1828" s="21">
        <v>17</v>
      </c>
      <c r="D1828" s="21">
        <v>17</v>
      </c>
      <c r="E1828" s="21">
        <v>17</v>
      </c>
      <c r="F1828" s="21">
        <v>17</v>
      </c>
      <c r="G1828" s="21">
        <v>17</v>
      </c>
      <c r="H1828" s="21">
        <v>17</v>
      </c>
      <c r="I1828" s="21">
        <v>17</v>
      </c>
      <c r="J1828" s="21">
        <v>17</v>
      </c>
      <c r="K1828" s="21">
        <v>17</v>
      </c>
      <c r="L1828" s="21">
        <v>17</v>
      </c>
      <c r="M1828" s="21">
        <v>17</v>
      </c>
      <c r="N1828" s="150">
        <f t="shared" si="2794"/>
        <v>204</v>
      </c>
      <c r="O1828" s="22">
        <f t="shared" si="2795"/>
        <v>17</v>
      </c>
      <c r="P1828" s="103"/>
      <c r="Q1828" s="103"/>
      <c r="R1828" s="103"/>
      <c r="S1828" s="103"/>
      <c r="T1828" s="103"/>
      <c r="U1828" s="103"/>
      <c r="V1828" s="103"/>
      <c r="W1828" s="103"/>
      <c r="X1828" s="103"/>
      <c r="Y1828" s="103"/>
      <c r="Z1828" s="103"/>
    </row>
    <row r="1829" spans="1:26" s="9" customFormat="1" ht="15.75">
      <c r="A1829" s="37" t="s">
        <v>266</v>
      </c>
      <c r="B1829" s="21">
        <v>4</v>
      </c>
      <c r="C1829" s="21">
        <v>4</v>
      </c>
      <c r="D1829" s="21">
        <v>4</v>
      </c>
      <c r="E1829" s="21">
        <v>4</v>
      </c>
      <c r="F1829" s="21">
        <v>4</v>
      </c>
      <c r="G1829" s="21">
        <v>4</v>
      </c>
      <c r="H1829" s="21">
        <v>4</v>
      </c>
      <c r="I1829" s="21">
        <v>4</v>
      </c>
      <c r="J1829" s="21">
        <v>4</v>
      </c>
      <c r="K1829" s="21">
        <v>4</v>
      </c>
      <c r="L1829" s="21">
        <v>4</v>
      </c>
      <c r="M1829" s="21">
        <v>4</v>
      </c>
      <c r="N1829" s="150">
        <f t="shared" si="2794"/>
        <v>48</v>
      </c>
      <c r="O1829" s="22">
        <f t="shared" si="2795"/>
        <v>4</v>
      </c>
      <c r="P1829" s="103"/>
      <c r="Q1829" s="103"/>
      <c r="R1829" s="103"/>
      <c r="S1829" s="103"/>
      <c r="T1829" s="103"/>
      <c r="U1829" s="103"/>
      <c r="V1829" s="103"/>
      <c r="W1829" s="103"/>
      <c r="X1829" s="103"/>
      <c r="Y1829" s="103"/>
      <c r="Z1829" s="103"/>
    </row>
    <row r="1830" spans="1:26" s="9" customFormat="1" ht="15.75">
      <c r="A1830" s="37" t="s">
        <v>267</v>
      </c>
      <c r="B1830" s="21">
        <v>1</v>
      </c>
      <c r="C1830" s="21">
        <v>1</v>
      </c>
      <c r="D1830" s="21">
        <v>1</v>
      </c>
      <c r="E1830" s="21">
        <v>1</v>
      </c>
      <c r="F1830" s="21">
        <v>1</v>
      </c>
      <c r="G1830" s="21">
        <v>1</v>
      </c>
      <c r="H1830" s="21">
        <v>1</v>
      </c>
      <c r="I1830" s="21">
        <v>1</v>
      </c>
      <c r="J1830" s="21">
        <v>1</v>
      </c>
      <c r="K1830" s="21">
        <v>1</v>
      </c>
      <c r="L1830" s="21">
        <v>1</v>
      </c>
      <c r="M1830" s="21">
        <v>1</v>
      </c>
      <c r="N1830" s="150">
        <f t="shared" si="2794"/>
        <v>12</v>
      </c>
      <c r="O1830" s="22">
        <f t="shared" si="2795"/>
        <v>1</v>
      </c>
      <c r="P1830" s="103"/>
      <c r="Q1830" s="103"/>
      <c r="R1830" s="103"/>
      <c r="S1830" s="103"/>
      <c r="T1830" s="103"/>
      <c r="U1830" s="103"/>
      <c r="V1830" s="103"/>
      <c r="W1830" s="103"/>
      <c r="X1830" s="103"/>
      <c r="Y1830" s="103"/>
      <c r="Z1830" s="103"/>
    </row>
    <row r="1831" spans="1:26" s="9" customFormat="1" ht="15.75">
      <c r="A1831" s="62" t="s">
        <v>21</v>
      </c>
      <c r="B1831" s="24">
        <f t="shared" ref="B1831:D1831" si="2796">SUM(B1823:B1830)</f>
        <v>341</v>
      </c>
      <c r="C1831" s="24">
        <f t="shared" si="2796"/>
        <v>341</v>
      </c>
      <c r="D1831" s="24">
        <f t="shared" si="2796"/>
        <v>337</v>
      </c>
      <c r="E1831" s="24">
        <f t="shared" ref="E1831:H1831" si="2797">SUM(E1823:E1830)</f>
        <v>337</v>
      </c>
      <c r="F1831" s="24">
        <f t="shared" si="2797"/>
        <v>340</v>
      </c>
      <c r="G1831" s="24">
        <f t="shared" si="2797"/>
        <v>335</v>
      </c>
      <c r="H1831" s="24">
        <f t="shared" si="2797"/>
        <v>346</v>
      </c>
      <c r="I1831" s="24">
        <f t="shared" ref="I1831:M1831" si="2798">SUM(I1823:I1830)</f>
        <v>340</v>
      </c>
      <c r="J1831" s="24">
        <f t="shared" si="2798"/>
        <v>342</v>
      </c>
      <c r="K1831" s="24">
        <f t="shared" si="2798"/>
        <v>338</v>
      </c>
      <c r="L1831" s="24">
        <f t="shared" si="2798"/>
        <v>339</v>
      </c>
      <c r="M1831" s="24">
        <f t="shared" si="2798"/>
        <v>338</v>
      </c>
      <c r="N1831" s="144">
        <f>SUM(N1823:N1830)</f>
        <v>4074</v>
      </c>
      <c r="O1831" s="25">
        <f>SUM(O1823:O1830)</f>
        <v>339.5</v>
      </c>
      <c r="P1831" s="103"/>
      <c r="Q1831" s="103"/>
      <c r="R1831" s="103"/>
      <c r="S1831" s="103"/>
      <c r="T1831" s="103"/>
      <c r="U1831" s="103"/>
      <c r="V1831" s="103"/>
      <c r="W1831" s="103"/>
      <c r="X1831" s="103"/>
      <c r="Y1831" s="103"/>
      <c r="Z1831" s="103"/>
    </row>
    <row r="1832" spans="1:26" s="9" customFormat="1">
      <c r="A1832" s="26"/>
      <c r="B1832" s="27"/>
      <c r="C1832" s="27"/>
      <c r="D1832" s="27"/>
      <c r="E1832" s="28"/>
      <c r="F1832" s="28"/>
      <c r="G1832" s="28"/>
      <c r="H1832" s="28"/>
      <c r="I1832" s="28"/>
      <c r="J1832" s="28"/>
      <c r="K1832" s="28"/>
      <c r="L1832" s="28"/>
      <c r="M1832" s="28"/>
      <c r="N1832" s="151"/>
      <c r="O1832" s="16"/>
      <c r="P1832" s="103"/>
      <c r="Q1832" s="103"/>
      <c r="R1832" s="103"/>
      <c r="S1832" s="103"/>
      <c r="T1832" s="103"/>
      <c r="U1832" s="103"/>
      <c r="V1832" s="103"/>
      <c r="W1832" s="103"/>
      <c r="X1832" s="103"/>
      <c r="Y1832" s="103"/>
      <c r="Z1832" s="103"/>
    </row>
    <row r="1833" spans="1:26" s="9" customFormat="1" ht="15.75">
      <c r="A1833" s="66" t="s">
        <v>268</v>
      </c>
      <c r="B1833" s="81"/>
      <c r="C1833" s="81"/>
      <c r="D1833" s="81"/>
      <c r="E1833" s="81"/>
      <c r="F1833" s="81"/>
      <c r="G1833" s="81"/>
      <c r="H1833" s="81"/>
      <c r="I1833" s="81"/>
      <c r="J1833" s="81"/>
      <c r="K1833" s="81"/>
      <c r="L1833" s="81"/>
      <c r="M1833" s="81"/>
      <c r="N1833" s="165"/>
      <c r="O1833" s="82"/>
      <c r="P1833" s="103"/>
      <c r="Q1833" s="103"/>
      <c r="R1833" s="103"/>
      <c r="S1833" s="103"/>
      <c r="T1833" s="103"/>
      <c r="U1833" s="103"/>
      <c r="V1833" s="103"/>
      <c r="W1833" s="103"/>
      <c r="X1833" s="103"/>
      <c r="Y1833" s="103"/>
      <c r="Z1833" s="103"/>
    </row>
    <row r="1834" spans="1:26" s="9" customFormat="1" ht="15.75">
      <c r="A1834" s="37" t="s">
        <v>269</v>
      </c>
      <c r="B1834" s="21">
        <v>90</v>
      </c>
      <c r="C1834" s="21">
        <v>90</v>
      </c>
      <c r="D1834" s="21">
        <v>94</v>
      </c>
      <c r="E1834" s="21">
        <v>94</v>
      </c>
      <c r="F1834" s="21">
        <v>94</v>
      </c>
      <c r="G1834" s="21">
        <v>98</v>
      </c>
      <c r="H1834" s="21">
        <v>103</v>
      </c>
      <c r="I1834" s="21">
        <v>106</v>
      </c>
      <c r="J1834" s="21">
        <v>107</v>
      </c>
      <c r="K1834" s="87">
        <v>100</v>
      </c>
      <c r="L1834" s="21">
        <v>105</v>
      </c>
      <c r="M1834" s="21">
        <v>107</v>
      </c>
      <c r="N1834" s="150">
        <f>SUM(B1834:M1834)</f>
        <v>1188</v>
      </c>
      <c r="O1834" s="22">
        <f>IF(N1834=0,0,AVERAGE(B1834:M1834))</f>
        <v>99</v>
      </c>
      <c r="P1834" s="103"/>
      <c r="Q1834" s="103"/>
      <c r="R1834" s="103"/>
      <c r="S1834" s="103"/>
      <c r="T1834" s="103"/>
      <c r="U1834" s="103"/>
      <c r="V1834" s="103"/>
      <c r="W1834" s="103"/>
      <c r="X1834" s="103"/>
      <c r="Y1834" s="103"/>
      <c r="Z1834" s="103"/>
    </row>
    <row r="1835" spans="1:26" s="9" customFormat="1" ht="15.75">
      <c r="A1835" s="40" t="s">
        <v>22</v>
      </c>
      <c r="B1835" s="21">
        <v>0</v>
      </c>
      <c r="C1835" s="21">
        <v>0</v>
      </c>
      <c r="D1835" s="21">
        <v>0</v>
      </c>
      <c r="E1835" s="21">
        <v>0</v>
      </c>
      <c r="F1835" s="21">
        <v>0</v>
      </c>
      <c r="G1835" s="21">
        <v>0</v>
      </c>
      <c r="H1835" s="21">
        <v>0</v>
      </c>
      <c r="I1835" s="21">
        <v>0</v>
      </c>
      <c r="J1835" s="21">
        <v>0</v>
      </c>
      <c r="K1835" s="21">
        <v>0</v>
      </c>
      <c r="L1835" s="21">
        <v>0</v>
      </c>
      <c r="M1835" s="21">
        <v>0</v>
      </c>
      <c r="N1835" s="150">
        <f>SUM(B1835:M1835)</f>
        <v>0</v>
      </c>
      <c r="O1835" s="22">
        <f>IF(N1835=0,0,AVERAGE(B1835:M1835))</f>
        <v>0</v>
      </c>
      <c r="P1835" s="103"/>
      <c r="Q1835" s="103"/>
      <c r="R1835" s="103"/>
      <c r="S1835" s="103"/>
      <c r="T1835" s="103"/>
      <c r="U1835" s="103"/>
      <c r="V1835" s="103"/>
      <c r="W1835" s="103"/>
      <c r="X1835" s="103"/>
      <c r="Y1835" s="103"/>
      <c r="Z1835" s="103"/>
    </row>
    <row r="1836" spans="1:26" s="9" customFormat="1">
      <c r="A1836" s="26"/>
      <c r="B1836" s="27"/>
      <c r="C1836" s="27"/>
      <c r="D1836" s="27"/>
      <c r="E1836" s="28"/>
      <c r="F1836" s="28"/>
      <c r="G1836" s="28"/>
      <c r="H1836" s="28"/>
      <c r="I1836" s="28"/>
      <c r="J1836" s="28"/>
      <c r="K1836" s="28"/>
      <c r="L1836" s="28"/>
      <c r="M1836" s="28"/>
      <c r="N1836" s="151"/>
      <c r="O1836" s="16"/>
      <c r="P1836" s="103"/>
      <c r="Q1836" s="103"/>
      <c r="R1836" s="103"/>
      <c r="S1836" s="103"/>
      <c r="T1836" s="103"/>
      <c r="U1836" s="103"/>
      <c r="V1836" s="103"/>
      <c r="W1836" s="103"/>
      <c r="X1836" s="103"/>
      <c r="Y1836" s="103"/>
      <c r="Z1836" s="103"/>
    </row>
    <row r="1837" spans="1:26" s="9" customFormat="1" ht="15.75">
      <c r="A1837" s="66" t="s">
        <v>270</v>
      </c>
      <c r="B1837" s="81"/>
      <c r="C1837" s="81"/>
      <c r="D1837" s="81"/>
      <c r="E1837" s="81"/>
      <c r="F1837" s="81"/>
      <c r="G1837" s="81"/>
      <c r="H1837" s="81"/>
      <c r="I1837" s="81"/>
      <c r="J1837" s="81"/>
      <c r="K1837" s="81"/>
      <c r="L1837" s="81"/>
      <c r="M1837" s="81"/>
      <c r="N1837" s="165"/>
      <c r="O1837" s="82"/>
      <c r="P1837" s="103"/>
      <c r="Q1837" s="103"/>
      <c r="R1837" s="103"/>
      <c r="S1837" s="103"/>
      <c r="T1837" s="103"/>
      <c r="U1837" s="103"/>
      <c r="V1837" s="103"/>
      <c r="W1837" s="103"/>
      <c r="X1837" s="103"/>
      <c r="Y1837" s="103"/>
      <c r="Z1837" s="103"/>
    </row>
    <row r="1838" spans="1:26" s="9" customFormat="1" ht="15.75">
      <c r="A1838" s="40" t="s">
        <v>271</v>
      </c>
      <c r="B1838" s="21">
        <v>28</v>
      </c>
      <c r="C1838" s="21">
        <v>19</v>
      </c>
      <c r="D1838" s="21">
        <v>22</v>
      </c>
      <c r="E1838" s="21">
        <v>13</v>
      </c>
      <c r="F1838" s="320">
        <v>21</v>
      </c>
      <c r="G1838" s="21">
        <v>25</v>
      </c>
      <c r="H1838" s="21">
        <v>26</v>
      </c>
      <c r="I1838" s="21">
        <v>24</v>
      </c>
      <c r="J1838" s="87">
        <v>25</v>
      </c>
      <c r="K1838" s="21">
        <v>27</v>
      </c>
      <c r="L1838" s="21">
        <v>27</v>
      </c>
      <c r="M1838" s="21">
        <v>28</v>
      </c>
      <c r="N1838" s="150">
        <f>SUM(B1838:M1838)</f>
        <v>285</v>
      </c>
      <c r="O1838" s="22">
        <f t="shared" ref="O1838:O1855" si="2799">IF(N1838=0,0,AVERAGE(B1838:M1838))</f>
        <v>23.75</v>
      </c>
      <c r="P1838" s="103"/>
      <c r="Q1838" s="103"/>
      <c r="R1838" s="103"/>
      <c r="S1838" s="103"/>
      <c r="T1838" s="103"/>
      <c r="U1838" s="103"/>
      <c r="V1838" s="103"/>
      <c r="W1838" s="103"/>
      <c r="X1838" s="103"/>
      <c r="Y1838" s="103"/>
      <c r="Z1838" s="103"/>
    </row>
    <row r="1839" spans="1:26" s="9" customFormat="1" ht="15.75">
      <c r="A1839" s="40" t="s">
        <v>272</v>
      </c>
      <c r="B1839" s="21">
        <v>10</v>
      </c>
      <c r="C1839" s="21">
        <v>9</v>
      </c>
      <c r="D1839" s="21">
        <v>8</v>
      </c>
      <c r="E1839" s="21">
        <v>16</v>
      </c>
      <c r="F1839" s="320">
        <v>10</v>
      </c>
      <c r="G1839" s="21">
        <v>8</v>
      </c>
      <c r="H1839" s="21">
        <v>10</v>
      </c>
      <c r="I1839" s="21">
        <v>8</v>
      </c>
      <c r="J1839" s="87">
        <v>11</v>
      </c>
      <c r="K1839" s="21">
        <v>11</v>
      </c>
      <c r="L1839" s="21">
        <v>11</v>
      </c>
      <c r="M1839" s="21">
        <v>15</v>
      </c>
      <c r="N1839" s="150">
        <f t="shared" ref="N1839:N1855" si="2800">SUM(B1839:M1839)</f>
        <v>127</v>
      </c>
      <c r="O1839" s="22">
        <f t="shared" si="2799"/>
        <v>10.583333333333334</v>
      </c>
      <c r="P1839" s="103"/>
      <c r="Q1839" s="103"/>
      <c r="R1839" s="103"/>
      <c r="S1839" s="103"/>
      <c r="T1839" s="103"/>
      <c r="U1839" s="103"/>
      <c r="V1839" s="103"/>
      <c r="W1839" s="103"/>
      <c r="X1839" s="103"/>
      <c r="Y1839" s="103"/>
      <c r="Z1839" s="103"/>
    </row>
    <row r="1840" spans="1:26" s="9" customFormat="1" ht="15.75">
      <c r="A1840" s="37" t="s">
        <v>273</v>
      </c>
      <c r="B1840" s="21">
        <v>8</v>
      </c>
      <c r="C1840" s="21">
        <v>7</v>
      </c>
      <c r="D1840" s="21">
        <v>4</v>
      </c>
      <c r="E1840" s="21">
        <v>9</v>
      </c>
      <c r="F1840" s="320">
        <v>7</v>
      </c>
      <c r="G1840" s="21">
        <v>9</v>
      </c>
      <c r="H1840" s="21">
        <v>14</v>
      </c>
      <c r="I1840" s="21">
        <v>7</v>
      </c>
      <c r="J1840" s="21">
        <v>8</v>
      </c>
      <c r="K1840" s="21">
        <v>4</v>
      </c>
      <c r="L1840" s="21">
        <v>4</v>
      </c>
      <c r="M1840" s="21">
        <v>6</v>
      </c>
      <c r="N1840" s="150">
        <f t="shared" si="2800"/>
        <v>87</v>
      </c>
      <c r="O1840" s="22">
        <f t="shared" si="2799"/>
        <v>7.25</v>
      </c>
      <c r="P1840" s="103"/>
      <c r="Q1840" s="103"/>
      <c r="R1840" s="103"/>
      <c r="S1840" s="103"/>
      <c r="T1840" s="103"/>
      <c r="U1840" s="103"/>
      <c r="V1840" s="103"/>
      <c r="W1840" s="103"/>
      <c r="X1840" s="103"/>
      <c r="Y1840" s="103"/>
      <c r="Z1840" s="103"/>
    </row>
    <row r="1841" spans="1:26" s="9" customFormat="1" ht="15.75">
      <c r="A1841" s="37" t="s">
        <v>274</v>
      </c>
      <c r="B1841" s="21">
        <v>8</v>
      </c>
      <c r="C1841" s="21">
        <v>7</v>
      </c>
      <c r="D1841" s="21">
        <v>8</v>
      </c>
      <c r="E1841" s="21">
        <v>9</v>
      </c>
      <c r="F1841" s="320">
        <v>4</v>
      </c>
      <c r="G1841" s="21">
        <v>14</v>
      </c>
      <c r="H1841" s="21">
        <v>5</v>
      </c>
      <c r="I1841" s="21">
        <v>13</v>
      </c>
      <c r="J1841" s="21">
        <v>6</v>
      </c>
      <c r="K1841" s="21">
        <v>8</v>
      </c>
      <c r="L1841" s="21">
        <v>8</v>
      </c>
      <c r="M1841" s="21">
        <v>7</v>
      </c>
      <c r="N1841" s="150">
        <f t="shared" si="2800"/>
        <v>97</v>
      </c>
      <c r="O1841" s="22">
        <f t="shared" si="2799"/>
        <v>8.0833333333333339</v>
      </c>
      <c r="P1841" s="103"/>
      <c r="Q1841" s="103"/>
      <c r="R1841" s="103"/>
      <c r="S1841" s="103"/>
      <c r="T1841" s="103"/>
      <c r="U1841" s="103"/>
      <c r="V1841" s="103"/>
      <c r="W1841" s="103"/>
      <c r="X1841" s="103"/>
      <c r="Y1841" s="103"/>
      <c r="Z1841" s="103"/>
    </row>
    <row r="1842" spans="1:26" s="9" customFormat="1" ht="15.75">
      <c r="A1842" s="37" t="s">
        <v>275</v>
      </c>
      <c r="B1842" s="21">
        <v>10</v>
      </c>
      <c r="C1842" s="21">
        <v>9</v>
      </c>
      <c r="D1842" s="21">
        <v>8</v>
      </c>
      <c r="E1842" s="21">
        <v>16</v>
      </c>
      <c r="F1842" s="320">
        <v>10</v>
      </c>
      <c r="G1842" s="21">
        <v>8</v>
      </c>
      <c r="H1842" s="21">
        <v>10</v>
      </c>
      <c r="I1842" s="21">
        <v>8</v>
      </c>
      <c r="J1842" s="21">
        <v>11</v>
      </c>
      <c r="K1842" s="21">
        <v>11</v>
      </c>
      <c r="L1842" s="21">
        <v>11</v>
      </c>
      <c r="M1842" s="21">
        <v>15</v>
      </c>
      <c r="N1842" s="150">
        <f t="shared" si="2800"/>
        <v>127</v>
      </c>
      <c r="O1842" s="22">
        <f t="shared" si="2799"/>
        <v>10.583333333333334</v>
      </c>
      <c r="P1842" s="103"/>
      <c r="Q1842" s="103"/>
      <c r="R1842" s="103"/>
      <c r="S1842" s="103"/>
      <c r="T1842" s="103"/>
      <c r="U1842" s="103"/>
      <c r="V1842" s="103"/>
      <c r="W1842" s="103"/>
      <c r="X1842" s="103"/>
      <c r="Y1842" s="103"/>
      <c r="Z1842" s="103"/>
    </row>
    <row r="1843" spans="1:26" s="9" customFormat="1" ht="15.75">
      <c r="A1843" s="127" t="s">
        <v>276</v>
      </c>
      <c r="B1843" s="21">
        <f>IF(B1831=0,"",B1831)</f>
        <v>341</v>
      </c>
      <c r="C1843" s="21">
        <f>IF(C1831=0,"",C1831)</f>
        <v>341</v>
      </c>
      <c r="D1843" s="21">
        <f>IF(D1831=0,"",D1831)</f>
        <v>337</v>
      </c>
      <c r="E1843" s="21">
        <v>337</v>
      </c>
      <c r="F1843" s="21">
        <v>340</v>
      </c>
      <c r="G1843" s="21">
        <v>335</v>
      </c>
      <c r="H1843" s="21">
        <v>346</v>
      </c>
      <c r="I1843" s="21">
        <v>340</v>
      </c>
      <c r="J1843" s="21">
        <v>342</v>
      </c>
      <c r="K1843" s="21">
        <v>338</v>
      </c>
      <c r="L1843" s="21">
        <v>338</v>
      </c>
      <c r="M1843" s="21">
        <v>339</v>
      </c>
      <c r="N1843" s="150">
        <f t="shared" si="2800"/>
        <v>4074</v>
      </c>
      <c r="O1843" s="22">
        <f t="shared" si="2799"/>
        <v>339.5</v>
      </c>
      <c r="P1843" s="103"/>
      <c r="Q1843" s="103"/>
      <c r="R1843" s="103"/>
      <c r="S1843" s="103"/>
      <c r="T1843" s="103"/>
      <c r="U1843" s="103"/>
      <c r="V1843" s="103"/>
      <c r="W1843" s="103"/>
      <c r="X1843" s="103"/>
      <c r="Y1843" s="103"/>
      <c r="Z1843" s="103"/>
    </row>
    <row r="1844" spans="1:26" s="9" customFormat="1" ht="15.75">
      <c r="A1844" s="37" t="s">
        <v>277</v>
      </c>
      <c r="B1844" s="21">
        <v>639</v>
      </c>
      <c r="C1844" s="21">
        <v>619</v>
      </c>
      <c r="D1844" s="21">
        <v>408</v>
      </c>
      <c r="E1844" s="21">
        <v>497</v>
      </c>
      <c r="F1844" s="21">
        <v>343</v>
      </c>
      <c r="G1844" s="21">
        <v>362</v>
      </c>
      <c r="H1844" s="21">
        <v>277</v>
      </c>
      <c r="I1844" s="21">
        <v>388</v>
      </c>
      <c r="J1844" s="21">
        <v>191</v>
      </c>
      <c r="K1844" s="21">
        <v>317</v>
      </c>
      <c r="L1844" s="21">
        <v>317</v>
      </c>
      <c r="M1844" s="21">
        <v>388</v>
      </c>
      <c r="N1844" s="150">
        <f t="shared" si="2800"/>
        <v>4746</v>
      </c>
      <c r="O1844" s="22">
        <f t="shared" si="2799"/>
        <v>395.5</v>
      </c>
      <c r="P1844" s="103"/>
      <c r="Q1844" s="103"/>
      <c r="R1844" s="103"/>
      <c r="S1844" s="103"/>
      <c r="T1844" s="103"/>
      <c r="U1844" s="103"/>
      <c r="V1844" s="103"/>
      <c r="W1844" s="103"/>
      <c r="X1844" s="103"/>
      <c r="Y1844" s="103"/>
      <c r="Z1844" s="103"/>
    </row>
    <row r="1845" spans="1:26" s="9" customFormat="1" ht="15.75">
      <c r="A1845" s="37" t="s">
        <v>278</v>
      </c>
      <c r="B1845" s="21">
        <f t="shared" ref="B1845:K1845" si="2801">IF(B1844=0,"",B1844/(B1843*B1870)*100)</f>
        <v>6.0448396556617165</v>
      </c>
      <c r="C1845" s="21">
        <f t="shared" si="2801"/>
        <v>6.4830330959363218</v>
      </c>
      <c r="D1845" s="21">
        <f t="shared" si="2801"/>
        <v>3.9054273954245238</v>
      </c>
      <c r="E1845" s="21">
        <f t="shared" si="2801"/>
        <v>4.9159248269040559</v>
      </c>
      <c r="F1845" s="21">
        <f t="shared" si="2801"/>
        <v>3.2542694497153697</v>
      </c>
      <c r="G1845" s="21">
        <f t="shared" si="2801"/>
        <v>3.6019900497512434</v>
      </c>
      <c r="H1845" s="21">
        <f t="shared" si="2801"/>
        <v>2.5825097892970352</v>
      </c>
      <c r="I1845" s="21">
        <f t="shared" si="2801"/>
        <v>3.6812144212523719</v>
      </c>
      <c r="J1845" s="21">
        <f t="shared" si="2801"/>
        <v>1.861598440545809</v>
      </c>
      <c r="K1845" s="21">
        <f t="shared" si="2801"/>
        <v>3.0253865241458291</v>
      </c>
      <c r="L1845" s="21">
        <f t="shared" ref="L1845:M1845" si="2802">IF(L1844=0,"",L1844/(L1843*L1870)*100)</f>
        <v>3.1262327416173568</v>
      </c>
      <c r="M1845" s="21">
        <f t="shared" si="2802"/>
        <v>3.692073460843087</v>
      </c>
      <c r="N1845" s="150">
        <f t="shared" si="2800"/>
        <v>46.174499851094723</v>
      </c>
      <c r="O1845" s="22">
        <f t="shared" si="2799"/>
        <v>3.847874987591227</v>
      </c>
      <c r="P1845" s="103"/>
      <c r="Q1845" s="103"/>
      <c r="R1845" s="103"/>
      <c r="S1845" s="103"/>
      <c r="T1845" s="103"/>
      <c r="U1845" s="103"/>
      <c r="V1845" s="103"/>
      <c r="W1845" s="103"/>
      <c r="X1845" s="103"/>
      <c r="Y1845" s="103"/>
      <c r="Z1845" s="103"/>
    </row>
    <row r="1846" spans="1:26" s="269" customFormat="1" ht="15" customHeight="1">
      <c r="A1846" s="37" t="s">
        <v>279</v>
      </c>
      <c r="B1846" s="145">
        <v>1703</v>
      </c>
      <c r="C1846" s="145">
        <v>1194.21</v>
      </c>
      <c r="D1846" s="145">
        <v>1194.21</v>
      </c>
      <c r="E1846" s="145">
        <v>1210.56</v>
      </c>
      <c r="F1846" s="145">
        <v>1538.82</v>
      </c>
      <c r="G1846" s="145">
        <v>991.31</v>
      </c>
      <c r="H1846" s="145">
        <v>651.05999999999995</v>
      </c>
      <c r="I1846" s="145">
        <v>806.44</v>
      </c>
      <c r="J1846" s="21">
        <v>943</v>
      </c>
      <c r="K1846" s="21">
        <v>809</v>
      </c>
      <c r="L1846" s="21">
        <v>719</v>
      </c>
      <c r="M1846" s="21">
        <v>1004</v>
      </c>
      <c r="N1846" s="150">
        <f t="shared" si="2800"/>
        <v>12764.609999999999</v>
      </c>
      <c r="O1846" s="22">
        <f t="shared" si="2799"/>
        <v>1063.7175</v>
      </c>
      <c r="P1846" s="103"/>
      <c r="Q1846" s="103"/>
      <c r="R1846" s="103"/>
      <c r="S1846" s="103"/>
      <c r="T1846" s="103"/>
      <c r="U1846" s="103"/>
      <c r="V1846" s="103"/>
      <c r="W1846" s="103"/>
      <c r="X1846" s="103"/>
      <c r="Y1846" s="103"/>
      <c r="Z1846" s="103"/>
    </row>
    <row r="1847" spans="1:26" s="9" customFormat="1" ht="15.75">
      <c r="A1847" s="471" t="s">
        <v>280</v>
      </c>
      <c r="B1847" s="472">
        <v>612</v>
      </c>
      <c r="C1847" s="472">
        <v>629</v>
      </c>
      <c r="D1847" s="472">
        <v>653</v>
      </c>
      <c r="E1847" s="472">
        <v>184</v>
      </c>
      <c r="F1847" s="472">
        <v>110</v>
      </c>
      <c r="G1847" s="472">
        <v>163</v>
      </c>
      <c r="H1847" s="472">
        <v>201</v>
      </c>
      <c r="I1847" s="472">
        <v>448</v>
      </c>
      <c r="J1847" s="472">
        <v>469</v>
      </c>
      <c r="K1847" s="21">
        <v>454</v>
      </c>
      <c r="L1847" s="21">
        <v>454</v>
      </c>
      <c r="M1847" s="21">
        <v>494</v>
      </c>
      <c r="N1847" s="150">
        <f t="shared" si="2800"/>
        <v>4871</v>
      </c>
      <c r="O1847" s="22">
        <f t="shared" si="2799"/>
        <v>405.91666666666669</v>
      </c>
      <c r="P1847" s="103"/>
      <c r="Q1847" s="103"/>
      <c r="R1847" s="103"/>
      <c r="S1847" s="103"/>
      <c r="T1847" s="103"/>
      <c r="U1847" s="103"/>
      <c r="V1847" s="103"/>
      <c r="W1847" s="103"/>
      <c r="X1847" s="103"/>
      <c r="Y1847" s="103"/>
      <c r="Z1847" s="103"/>
    </row>
    <row r="1848" spans="1:26" s="9" customFormat="1" ht="15.75">
      <c r="A1848" s="473" t="s">
        <v>281</v>
      </c>
      <c r="B1848" s="477">
        <f t="shared" ref="B1848:K1848" si="2803">IF(B12="","",B1843/B12)</f>
        <v>4.871428571428571</v>
      </c>
      <c r="C1848" s="472">
        <f t="shared" si="2803"/>
        <v>4.871428571428571</v>
      </c>
      <c r="D1848" s="472">
        <f t="shared" si="2803"/>
        <v>4.8142857142857141</v>
      </c>
      <c r="E1848" s="472">
        <f t="shared" si="2803"/>
        <v>4.8142857142857141</v>
      </c>
      <c r="F1848" s="472">
        <f t="shared" si="2803"/>
        <v>4.8571428571428568</v>
      </c>
      <c r="G1848" s="472">
        <f t="shared" si="2803"/>
        <v>4.7857142857142856</v>
      </c>
      <c r="H1848" s="472">
        <f t="shared" si="2803"/>
        <v>4.9428571428571431</v>
      </c>
      <c r="I1848" s="472">
        <f t="shared" si="2803"/>
        <v>4.8571428571428568</v>
      </c>
      <c r="J1848" s="472">
        <f t="shared" si="2803"/>
        <v>4.8857142857142861</v>
      </c>
      <c r="K1848" s="472">
        <f t="shared" si="2803"/>
        <v>4.8285714285714283</v>
      </c>
      <c r="L1848" s="472">
        <f t="shared" ref="L1848:M1848" si="2804">IF(L12="","",L1843/L12)</f>
        <v>4.8285714285714283</v>
      </c>
      <c r="M1848" s="472">
        <f t="shared" si="2804"/>
        <v>4.8428571428571425</v>
      </c>
      <c r="N1848" s="150">
        <f t="shared" si="2800"/>
        <v>58.199999999999996</v>
      </c>
      <c r="O1848" s="22">
        <f t="shared" si="2799"/>
        <v>4.8499999999999996</v>
      </c>
      <c r="P1848" s="103"/>
      <c r="Q1848" s="103"/>
      <c r="R1848" s="103"/>
      <c r="S1848" s="103"/>
      <c r="T1848" s="103"/>
      <c r="U1848" s="103"/>
      <c r="V1848" s="103"/>
      <c r="W1848" s="103"/>
      <c r="X1848" s="103"/>
      <c r="Y1848" s="103"/>
      <c r="Z1848" s="103"/>
    </row>
    <row r="1849" spans="1:26" s="9" customFormat="1" ht="16.5" customHeight="1">
      <c r="A1849" s="37" t="s">
        <v>282</v>
      </c>
      <c r="B1849" s="21">
        <f t="shared" ref="B1849:K1849" si="2805">IF(B49="","",B1843/B49)</f>
        <v>6.9272608125819142</v>
      </c>
      <c r="C1849" s="21">
        <f t="shared" si="2805"/>
        <v>6.9490538573508012</v>
      </c>
      <c r="D1849" s="21">
        <f t="shared" si="2805"/>
        <v>7.5757795503988401</v>
      </c>
      <c r="E1849" s="21">
        <f t="shared" si="2805"/>
        <v>10.099900099900101</v>
      </c>
      <c r="F1849" s="21">
        <f t="shared" si="2805"/>
        <v>11.481481481481481</v>
      </c>
      <c r="G1849" s="21">
        <f t="shared" si="2805"/>
        <v>8.7619877942458579</v>
      </c>
      <c r="H1849" s="21">
        <f t="shared" si="2805"/>
        <v>7.7612156295224315</v>
      </c>
      <c r="I1849" s="21">
        <f t="shared" si="2805"/>
        <v>6.5874999999999995</v>
      </c>
      <c r="J1849" s="21">
        <f t="shared" si="2805"/>
        <v>6.7322834645669287</v>
      </c>
      <c r="K1849" s="21">
        <f t="shared" si="2805"/>
        <v>8.1477449455676521</v>
      </c>
      <c r="L1849" s="21">
        <f t="shared" ref="L1849:M1849" si="2806">IF(L49="","",L1843/L49)</f>
        <v>8.1055155875299754</v>
      </c>
      <c r="M1849" s="21">
        <f t="shared" si="2806"/>
        <v>7.6596209912536439</v>
      </c>
      <c r="N1849" s="150">
        <f t="shared" si="2800"/>
        <v>96.789344214399634</v>
      </c>
      <c r="O1849" s="22">
        <f t="shared" si="2799"/>
        <v>8.0657786845333028</v>
      </c>
      <c r="P1849" s="103"/>
      <c r="Q1849" s="103"/>
      <c r="R1849" s="103"/>
      <c r="S1849" s="103"/>
      <c r="T1849" s="103"/>
      <c r="U1849" s="103"/>
      <c r="V1849" s="103"/>
      <c r="W1849" s="103"/>
      <c r="X1849" s="103"/>
      <c r="Y1849" s="103"/>
      <c r="Z1849" s="103"/>
    </row>
    <row r="1850" spans="1:26" s="9" customFormat="1" ht="15.75">
      <c r="A1850" s="37" t="s">
        <v>283</v>
      </c>
      <c r="B1850" s="145">
        <f t="shared" ref="B1850:C1850" si="2807">IF(B1843="","",((B1840+B1841)/2)*(100)/B1843)</f>
        <v>2.3460410557184752</v>
      </c>
      <c r="C1850" s="145">
        <f t="shared" si="2807"/>
        <v>2.0527859237536656</v>
      </c>
      <c r="D1850" s="145">
        <f t="shared" ref="D1850:E1850" si="2808">IF(D1843="","",((D1840+D1841)/2)*(100)/D1843)</f>
        <v>1.7804154302670623</v>
      </c>
      <c r="E1850" s="145">
        <f t="shared" si="2808"/>
        <v>2.6706231454005933</v>
      </c>
      <c r="F1850" s="145">
        <f t="shared" ref="F1850:G1850" si="2809">IF(F1843="","",((F1840+F1841)/2)*(100)/F1843)</f>
        <v>1.6176470588235294</v>
      </c>
      <c r="G1850" s="145">
        <f t="shared" si="2809"/>
        <v>3.4328358208955225</v>
      </c>
      <c r="H1850" s="145">
        <f t="shared" ref="H1850" si="2810">IF(H1843="","",((H1840+H1841)/2)*(100)/H1843)</f>
        <v>2.745664739884393</v>
      </c>
      <c r="I1850" s="145">
        <f t="shared" ref="I1850:J1850" si="2811">IF(I1843="","",((I1840+I1841)/2)*(100)/I1843)</f>
        <v>2.9411764705882355</v>
      </c>
      <c r="J1850" s="145">
        <f t="shared" si="2811"/>
        <v>2.0467836257309941</v>
      </c>
      <c r="K1850" s="145">
        <f t="shared" ref="K1850:L1850" si="2812">IF(K1843="","",((K1840+K1841)/2)*(100)/K1843)</f>
        <v>1.7751479289940828</v>
      </c>
      <c r="L1850" s="145">
        <f t="shared" si="2812"/>
        <v>1.7751479289940828</v>
      </c>
      <c r="M1850" s="145">
        <f t="shared" ref="M1850" si="2813">IF(M1843="","",((M1840+M1841)/2)*(100)/M1843)</f>
        <v>1.9174041297935103</v>
      </c>
      <c r="N1850" s="150">
        <f t="shared" si="2800"/>
        <v>27.101673258844151</v>
      </c>
      <c r="O1850" s="22">
        <f t="shared" si="2799"/>
        <v>2.2584727715703461</v>
      </c>
      <c r="P1850" s="103"/>
      <c r="Q1850" s="103"/>
      <c r="R1850" s="103"/>
      <c r="S1850" s="103"/>
      <c r="T1850" s="103"/>
      <c r="U1850" s="103"/>
      <c r="V1850" s="103"/>
      <c r="W1850" s="103"/>
      <c r="X1850" s="103"/>
      <c r="Y1850" s="103"/>
      <c r="Z1850" s="103"/>
    </row>
    <row r="1851" spans="1:26" s="9" customFormat="1" ht="15.75">
      <c r="A1851" s="37" t="s">
        <v>423</v>
      </c>
      <c r="B1851" s="192">
        <f t="shared" ref="B1851:C1851" si="2814">SUM(B1778,B1779:B1781,B1783:B1785,B1788:B1789,B1792:B1793,B1798:B1800,B1805:B1806,B1809,B1815)/B1816</f>
        <v>0.16129032258064516</v>
      </c>
      <c r="C1851" s="192">
        <f t="shared" si="2814"/>
        <v>0.15835777126099707</v>
      </c>
      <c r="D1851" s="192">
        <f t="shared" ref="D1851:E1851" si="2815">SUM(D1778,D1779:D1781,D1783:D1785,D1788:D1789,D1792:D1793,D1798:D1800,D1805:D1806,D1809,D1815)/D1816</f>
        <v>0.15727002967359049</v>
      </c>
      <c r="E1851" s="192">
        <f t="shared" si="2815"/>
        <v>0.15727002967359049</v>
      </c>
      <c r="F1851" s="192">
        <f t="shared" ref="F1851:G1851" si="2816">SUM(F1778,F1779:F1781,F1783:F1785,F1788:F1789,F1792:F1793,F1798:F1800,F1805:F1806,F1809,F1815)/F1816</f>
        <v>0.1588235294117647</v>
      </c>
      <c r="G1851" s="192">
        <f t="shared" si="2816"/>
        <v>0.15820895522388059</v>
      </c>
      <c r="H1851" s="192">
        <f t="shared" ref="H1851" si="2817">SUM(H1778,H1779:H1781,H1783:H1785,H1788:H1789,H1792:H1793,H1798:H1800,H1805:H1806,H1809,H1815)/H1816</f>
        <v>0.16184971098265896</v>
      </c>
      <c r="I1851" s="192">
        <f t="shared" ref="I1851:J1851" si="2818">SUM(I1778,I1779:I1781,I1783:I1785,I1788:I1789,I1792:I1793,I1798:I1800,I1805:I1806,I1809,I1815)/I1816</f>
        <v>0.16470588235294117</v>
      </c>
      <c r="J1851" s="192">
        <f t="shared" si="2818"/>
        <v>0.16374269005847952</v>
      </c>
      <c r="K1851" s="192">
        <f t="shared" ref="K1851:L1851" si="2819">SUM(K1778,K1779:K1781,K1783:K1785,K1788:K1789,K1792:K1793,K1798:K1800,K1805:K1806,K1809,K1815)/K1816</f>
        <v>0.16519174041297935</v>
      </c>
      <c r="L1851" s="192">
        <f t="shared" si="2819"/>
        <v>0.16224188790560473</v>
      </c>
      <c r="M1851" s="192">
        <f t="shared" ref="M1851" si="2820">SUM(M1778,M1779:M1781,M1783:M1785,M1788:M1789,M1792:M1793,M1798:M1800,M1805:M1806,M1809,M1815)/M1816</f>
        <v>0.15976331360946747</v>
      </c>
      <c r="N1851" s="219">
        <f t="shared" si="2800"/>
        <v>1.9287158631465995</v>
      </c>
      <c r="O1851" s="219">
        <f t="shared" si="2799"/>
        <v>0.16072632192888328</v>
      </c>
      <c r="P1851" s="103"/>
      <c r="Q1851" s="103"/>
      <c r="R1851" s="103"/>
      <c r="S1851" s="103"/>
      <c r="T1851" s="103"/>
      <c r="U1851" s="103"/>
      <c r="V1851" s="103"/>
      <c r="W1851" s="103"/>
      <c r="X1851" s="103"/>
      <c r="Y1851" s="103"/>
      <c r="Z1851" s="103"/>
    </row>
    <row r="1852" spans="1:26" s="9" customFormat="1" ht="15.75">
      <c r="A1852" s="37" t="s">
        <v>284</v>
      </c>
      <c r="B1852" s="192">
        <f t="shared" ref="B1852:C1852" si="2821">SUM(B1794+B1813+B1795+B1782+B1790+B1787+B1807+B1808+B1803+B1802+B1791)/B1816</f>
        <v>0.53958944281524923</v>
      </c>
      <c r="C1852" s="192">
        <f t="shared" si="2821"/>
        <v>0.53958944281524923</v>
      </c>
      <c r="D1852" s="192">
        <f t="shared" ref="D1852:E1852" si="2822">SUM(D1794+D1813+D1795+D1782+D1790+D1787+D1807+D1808+D1803+D1802+D1791)/D1816</f>
        <v>0.54599406528189909</v>
      </c>
      <c r="E1852" s="192">
        <f t="shared" si="2822"/>
        <v>0.5400593471810089</v>
      </c>
      <c r="F1852" s="192">
        <f t="shared" ref="F1852:G1852" si="2823">SUM(F1794+F1813+F1795+F1782+F1790+F1787+F1807+F1808+F1803+F1802+F1791)/F1816</f>
        <v>0.53823529411764703</v>
      </c>
      <c r="G1852" s="192">
        <f t="shared" si="2823"/>
        <v>0.54328358208955219</v>
      </c>
      <c r="H1852" s="192">
        <f t="shared" ref="H1852" si="2824">SUM(H1794+H1813+H1795+H1782+H1790+H1787+H1807+H1808+H1803+H1802+H1791)/H1816</f>
        <v>0.54046242774566478</v>
      </c>
      <c r="I1852" s="192">
        <f t="shared" ref="I1852:J1852" si="2825">SUM(I1794+I1813+I1795+I1782+I1790+I1787+I1807+I1808+I1803+I1802+I1791)/I1816</f>
        <v>0.53235294117647058</v>
      </c>
      <c r="J1852" s="192">
        <f t="shared" si="2825"/>
        <v>0.53508771929824561</v>
      </c>
      <c r="K1852" s="192">
        <f t="shared" ref="K1852:L1852" si="2826">SUM(K1794+K1813+K1795+K1782+K1790+K1787+K1807+K1808+K1803+K1802+K1791)/K1816</f>
        <v>0.53392330383480824</v>
      </c>
      <c r="L1852" s="192">
        <f t="shared" si="2826"/>
        <v>0.53982300884955747</v>
      </c>
      <c r="M1852" s="192">
        <f t="shared" ref="M1852" si="2827">SUM(M1794+M1813+M1795+M1782+M1790+M1787+M1807+M1808+M1803+M1802+M1791)/M1816</f>
        <v>0.54142011834319526</v>
      </c>
      <c r="N1852" s="219">
        <f t="shared" si="2800"/>
        <v>6.4698206935485487</v>
      </c>
      <c r="O1852" s="219">
        <f t="shared" si="2799"/>
        <v>0.53915172446237902</v>
      </c>
      <c r="P1852" s="103"/>
      <c r="Q1852" s="103"/>
      <c r="R1852" s="103"/>
      <c r="S1852" s="103"/>
      <c r="T1852" s="103"/>
      <c r="U1852" s="103"/>
      <c r="V1852" s="103"/>
      <c r="W1852" s="103"/>
      <c r="X1852" s="103"/>
      <c r="Y1852" s="103"/>
      <c r="Z1852" s="103"/>
    </row>
    <row r="1853" spans="1:26" s="9" customFormat="1" ht="15.75">
      <c r="A1853" s="37" t="s">
        <v>285</v>
      </c>
      <c r="B1853" s="192">
        <f t="shared" ref="B1853:C1853" si="2828">SUM(B1786,B1796,B1801,B1804,B1811,B1812,B1814,B1797,B1810)/B1816</f>
        <v>0.29912023460410558</v>
      </c>
      <c r="C1853" s="192">
        <f t="shared" si="2828"/>
        <v>0.30205278592375367</v>
      </c>
      <c r="D1853" s="192">
        <f t="shared" ref="D1853:E1853" si="2829">SUM(D1786,D1796,D1801,D1804,D1811,D1812,D1814,D1797,D1810)/D1816</f>
        <v>0.29673590504451036</v>
      </c>
      <c r="E1853" s="192">
        <f t="shared" si="2829"/>
        <v>0.30267062314540061</v>
      </c>
      <c r="F1853" s="192">
        <f t="shared" ref="F1853:G1853" si="2830">SUM(F1786,F1796,F1801,F1804,F1811,F1812,F1814,F1797,F1810)/F1816</f>
        <v>0.30294117647058821</v>
      </c>
      <c r="G1853" s="192">
        <f t="shared" si="2830"/>
        <v>0.29850746268656714</v>
      </c>
      <c r="H1853" s="192">
        <f t="shared" ref="H1853" si="2831">SUM(H1786,H1796,H1801,H1804,H1811,H1812,H1814,H1797,H1810)/H1816</f>
        <v>0.29768786127167629</v>
      </c>
      <c r="I1853" s="192">
        <f t="shared" ref="I1853:J1853" si="2832">SUM(I1786,I1796,I1801,I1804,I1811,I1812,I1814,I1797,I1810)/I1816</f>
        <v>0.30294117647058821</v>
      </c>
      <c r="J1853" s="192">
        <f t="shared" si="2832"/>
        <v>0.30116959064327486</v>
      </c>
      <c r="K1853" s="192">
        <f t="shared" ref="K1853:L1853" si="2833">SUM(K1786,K1796,K1801,K1804,K1811,K1812,K1814,K1797,K1810)/K1816</f>
        <v>0.30088495575221241</v>
      </c>
      <c r="L1853" s="192">
        <f t="shared" si="2833"/>
        <v>0.29793510324483774</v>
      </c>
      <c r="M1853" s="192">
        <f t="shared" ref="M1853" si="2834">SUM(M1786,M1796,M1801,M1804,M1811,M1812,M1814,M1797,M1810)/M1816</f>
        <v>0.29881656804733731</v>
      </c>
      <c r="N1853" s="219">
        <f t="shared" si="2800"/>
        <v>3.6014634433048522</v>
      </c>
      <c r="O1853" s="219">
        <f t="shared" si="2799"/>
        <v>0.30012195360873767</v>
      </c>
      <c r="P1853" s="103"/>
      <c r="Q1853" s="103"/>
      <c r="R1853" s="103"/>
      <c r="S1853" s="103"/>
      <c r="T1853" s="103"/>
      <c r="U1853" s="103"/>
      <c r="V1853" s="103"/>
      <c r="W1853" s="103"/>
      <c r="X1853" s="103"/>
      <c r="Y1853" s="103"/>
      <c r="Z1853" s="103"/>
    </row>
    <row r="1854" spans="1:26" s="9" customFormat="1" ht="15.75">
      <c r="A1854" s="40" t="s">
        <v>286</v>
      </c>
      <c r="B1854" s="21">
        <f t="shared" ref="B1854:C1854" si="2835">IF(B1819=0,"",B1819)</f>
        <v>19</v>
      </c>
      <c r="C1854" s="21">
        <f t="shared" si="2835"/>
        <v>19</v>
      </c>
      <c r="D1854" s="21">
        <f t="shared" ref="D1854:E1854" si="2836">IF(D1819=0,"",D1819)</f>
        <v>19</v>
      </c>
      <c r="E1854" s="21">
        <f t="shared" si="2836"/>
        <v>19</v>
      </c>
      <c r="F1854" s="21">
        <f t="shared" ref="F1854:G1854" si="2837">IF(F1819=0,"",F1819)</f>
        <v>19</v>
      </c>
      <c r="G1854" s="21">
        <f t="shared" si="2837"/>
        <v>19</v>
      </c>
      <c r="H1854" s="21">
        <f t="shared" ref="H1854" si="2838">IF(H1819=0,"",H1819)</f>
        <v>19</v>
      </c>
      <c r="I1854" s="21">
        <f t="shared" ref="I1854:K1854" si="2839">IF(I1819=0,"",I1819)</f>
        <v>19</v>
      </c>
      <c r="J1854" s="21">
        <f t="shared" si="2839"/>
        <v>19</v>
      </c>
      <c r="K1854" s="21">
        <f t="shared" si="2839"/>
        <v>19</v>
      </c>
      <c r="L1854" s="21">
        <f t="shared" ref="L1854:M1854" si="2840">IF(L1819=0,"",L1819)</f>
        <v>19</v>
      </c>
      <c r="M1854" s="21">
        <f t="shared" si="2840"/>
        <v>19</v>
      </c>
      <c r="N1854" s="150">
        <f t="shared" si="2800"/>
        <v>228</v>
      </c>
      <c r="O1854" s="22">
        <f t="shared" si="2799"/>
        <v>19</v>
      </c>
      <c r="P1854" s="103"/>
      <c r="Q1854" s="103"/>
      <c r="R1854" s="103"/>
      <c r="S1854" s="103"/>
      <c r="T1854" s="103"/>
      <c r="U1854" s="103"/>
      <c r="V1854" s="103"/>
      <c r="W1854" s="103"/>
      <c r="X1854" s="103"/>
      <c r="Y1854" s="103"/>
      <c r="Z1854" s="103"/>
    </row>
    <row r="1855" spans="1:26" s="9" customFormat="1" ht="15.75">
      <c r="A1855" s="37" t="s">
        <v>287</v>
      </c>
      <c r="B1855" s="21">
        <v>0</v>
      </c>
      <c r="C1855" s="21">
        <v>0</v>
      </c>
      <c r="D1855" s="21">
        <v>0</v>
      </c>
      <c r="E1855" s="21">
        <v>0</v>
      </c>
      <c r="F1855" s="21">
        <v>0</v>
      </c>
      <c r="G1855" s="21">
        <v>0</v>
      </c>
      <c r="H1855" s="21">
        <v>0</v>
      </c>
      <c r="I1855" s="21">
        <v>0</v>
      </c>
      <c r="J1855" s="21">
        <v>0</v>
      </c>
      <c r="K1855" s="21">
        <v>0</v>
      </c>
      <c r="L1855" s="21">
        <v>0</v>
      </c>
      <c r="M1855" s="21">
        <v>0</v>
      </c>
      <c r="N1855" s="150">
        <f t="shared" si="2800"/>
        <v>0</v>
      </c>
      <c r="O1855" s="22">
        <f t="shared" si="2799"/>
        <v>0</v>
      </c>
      <c r="P1855" s="103"/>
      <c r="Q1855" s="103"/>
      <c r="R1855" s="103"/>
      <c r="S1855" s="103"/>
      <c r="T1855" s="103"/>
      <c r="U1855" s="103"/>
      <c r="V1855" s="103"/>
      <c r="W1855" s="103"/>
      <c r="X1855" s="103"/>
      <c r="Y1855" s="103"/>
      <c r="Z1855" s="103"/>
    </row>
    <row r="1856" spans="1:26" s="9" customFormat="1">
      <c r="A1856" s="26"/>
      <c r="B1856" s="27"/>
      <c r="C1856" s="27"/>
      <c r="D1856" s="27"/>
      <c r="E1856" s="27"/>
      <c r="F1856" s="28"/>
      <c r="G1856" s="28"/>
      <c r="H1856" s="28"/>
      <c r="I1856" s="28"/>
      <c r="J1856" s="28"/>
      <c r="K1856" s="28"/>
      <c r="L1856" s="28"/>
      <c r="M1856" s="28"/>
      <c r="N1856" s="151"/>
      <c r="O1856" s="16"/>
      <c r="P1856" s="103"/>
      <c r="Q1856" s="103"/>
      <c r="R1856" s="103"/>
      <c r="S1856" s="103"/>
      <c r="T1856" s="103"/>
      <c r="U1856" s="103"/>
      <c r="V1856" s="103"/>
      <c r="W1856" s="103"/>
      <c r="X1856" s="103"/>
      <c r="Y1856" s="103"/>
      <c r="Z1856" s="103"/>
    </row>
    <row r="1857" spans="1:26" s="9" customFormat="1" ht="15.75">
      <c r="A1857" s="128" t="s">
        <v>288</v>
      </c>
      <c r="B1857" s="129"/>
      <c r="C1857" s="129"/>
      <c r="D1857" s="129"/>
      <c r="E1857" s="129"/>
      <c r="F1857" s="129"/>
      <c r="G1857" s="129"/>
      <c r="H1857" s="129"/>
      <c r="I1857" s="129"/>
      <c r="J1857" s="129"/>
      <c r="K1857" s="129"/>
      <c r="L1857" s="129"/>
      <c r="M1857" s="129"/>
      <c r="N1857" s="176"/>
      <c r="O1857" s="130"/>
      <c r="P1857" s="103"/>
      <c r="Q1857" s="103"/>
      <c r="R1857" s="103"/>
      <c r="S1857" s="103"/>
      <c r="T1857" s="103"/>
      <c r="U1857" s="103"/>
      <c r="V1857" s="103"/>
      <c r="W1857" s="103"/>
      <c r="X1857" s="103"/>
      <c r="Y1857" s="103"/>
      <c r="Z1857" s="103"/>
    </row>
    <row r="1858" spans="1:26" s="9" customFormat="1" ht="15.75">
      <c r="A1858" s="131" t="s">
        <v>289</v>
      </c>
      <c r="B1858" s="132">
        <f t="shared" ref="B1858:K1858" si="2841">B43</f>
        <v>1526</v>
      </c>
      <c r="C1858" s="132">
        <f t="shared" si="2841"/>
        <v>1374</v>
      </c>
      <c r="D1858" s="132">
        <f t="shared" si="2841"/>
        <v>1379</v>
      </c>
      <c r="E1858" s="132">
        <f t="shared" si="2841"/>
        <v>1001</v>
      </c>
      <c r="F1858" s="132">
        <f t="shared" si="2841"/>
        <v>918</v>
      </c>
      <c r="G1858" s="132">
        <f t="shared" si="2841"/>
        <v>1147</v>
      </c>
      <c r="H1858" s="132">
        <f t="shared" si="2841"/>
        <v>1382</v>
      </c>
      <c r="I1858" s="132">
        <f t="shared" si="2841"/>
        <v>1600</v>
      </c>
      <c r="J1858" s="132">
        <f t="shared" si="2841"/>
        <v>1524</v>
      </c>
      <c r="K1858" s="132">
        <f t="shared" si="2841"/>
        <v>1286</v>
      </c>
      <c r="L1858" s="132">
        <f t="shared" ref="L1858:M1858" si="2842">L43</f>
        <v>1251</v>
      </c>
      <c r="M1858" s="132">
        <f t="shared" si="2842"/>
        <v>1372</v>
      </c>
      <c r="N1858" s="155">
        <f t="shared" ref="N1858:N1868" si="2843">SUM(B1858:M1858)</f>
        <v>15760</v>
      </c>
      <c r="O1858" s="45">
        <f t="shared" ref="O1858:O1868" si="2844">IF(N1858=0,0,AVERAGE(B1858:M1858))</f>
        <v>1313.3333333333333</v>
      </c>
      <c r="P1858" s="103"/>
      <c r="Q1858" s="103"/>
      <c r="R1858" s="103"/>
      <c r="S1858" s="103"/>
      <c r="T1858" s="103"/>
      <c r="U1858" s="103"/>
      <c r="V1858" s="103"/>
      <c r="W1858" s="103"/>
      <c r="X1858" s="103"/>
      <c r="Y1858" s="103"/>
      <c r="Z1858" s="103"/>
    </row>
    <row r="1859" spans="1:26" s="9" customFormat="1" ht="15.75">
      <c r="A1859" s="131" t="s">
        <v>77</v>
      </c>
      <c r="B1859" s="221">
        <f t="shared" ref="B1859:G1859" si="2845">B338</f>
        <v>0.70322580645161292</v>
      </c>
      <c r="C1859" s="221">
        <f t="shared" si="2845"/>
        <v>0.70102040816326527</v>
      </c>
      <c r="D1859" s="221">
        <f t="shared" si="2845"/>
        <v>0.63548387096774195</v>
      </c>
      <c r="E1859" s="221">
        <f t="shared" si="2845"/>
        <v>0.47666666666666668</v>
      </c>
      <c r="F1859" s="221">
        <f t="shared" si="2845"/>
        <v>0.42304147465437786</v>
      </c>
      <c r="G1859" s="221">
        <f t="shared" si="2845"/>
        <v>0.54619047619047623</v>
      </c>
      <c r="H1859" s="221">
        <f t="shared" ref="H1859:I1859" si="2846">H338</f>
        <v>0.63686635944700465</v>
      </c>
      <c r="I1859" s="221">
        <f t="shared" si="2846"/>
        <v>0.73732718894009219</v>
      </c>
      <c r="J1859" s="221">
        <f t="shared" ref="J1859:K1859" si="2847">J338</f>
        <v>0.72571428571428576</v>
      </c>
      <c r="K1859" s="221">
        <f t="shared" si="2847"/>
        <v>0.59262672811059913</v>
      </c>
      <c r="L1859" s="221">
        <f t="shared" ref="L1859:M1859" si="2848">L338</f>
        <v>0.59571428571428575</v>
      </c>
      <c r="M1859" s="221">
        <f t="shared" si="2848"/>
        <v>0.63225806451612898</v>
      </c>
      <c r="N1859" s="221">
        <f t="shared" si="2843"/>
        <v>7.4061356155365381</v>
      </c>
      <c r="O1859" s="221">
        <f t="shared" si="2844"/>
        <v>0.61717796796137814</v>
      </c>
      <c r="P1859" s="133"/>
      <c r="Q1859" s="133"/>
      <c r="R1859" s="133"/>
      <c r="S1859" s="133"/>
      <c r="T1859" s="133"/>
      <c r="U1859" s="133"/>
      <c r="V1859" s="133"/>
      <c r="W1859" s="133"/>
      <c r="X1859" s="133"/>
      <c r="Y1859" s="133"/>
      <c r="Z1859" s="133"/>
    </row>
    <row r="1860" spans="1:26" s="9" customFormat="1" ht="15.75">
      <c r="A1860" s="131" t="s">
        <v>290</v>
      </c>
      <c r="B1860" s="220">
        <f t="shared" ref="B1860:K1860" si="2849">B49</f>
        <v>49.225806451612897</v>
      </c>
      <c r="C1860" s="220">
        <f t="shared" si="2849"/>
        <v>49.071428571428569</v>
      </c>
      <c r="D1860" s="220">
        <f t="shared" si="2849"/>
        <v>44.483870967741936</v>
      </c>
      <c r="E1860" s="220">
        <f t="shared" si="2849"/>
        <v>33.366666666666667</v>
      </c>
      <c r="F1860" s="220">
        <f t="shared" si="2849"/>
        <v>29.612903225806452</v>
      </c>
      <c r="G1860" s="220">
        <f t="shared" si="2849"/>
        <v>38.233333333333334</v>
      </c>
      <c r="H1860" s="220">
        <f t="shared" si="2849"/>
        <v>44.58064516129032</v>
      </c>
      <c r="I1860" s="220">
        <f t="shared" si="2849"/>
        <v>51.612903225806456</v>
      </c>
      <c r="J1860" s="220">
        <f t="shared" si="2849"/>
        <v>50.800000000000004</v>
      </c>
      <c r="K1860" s="220">
        <f t="shared" si="2849"/>
        <v>41.483870967741936</v>
      </c>
      <c r="L1860" s="220">
        <f t="shared" ref="L1860:M1860" si="2850">L49</f>
        <v>41.7</v>
      </c>
      <c r="M1860" s="220">
        <f t="shared" si="2850"/>
        <v>44.258064516129032</v>
      </c>
      <c r="N1860" s="155">
        <f t="shared" si="2843"/>
        <v>518.4294930875576</v>
      </c>
      <c r="O1860" s="45">
        <f t="shared" si="2844"/>
        <v>43.202457757296465</v>
      </c>
      <c r="P1860" s="133"/>
      <c r="Q1860" s="133"/>
      <c r="R1860" s="133"/>
      <c r="S1860" s="133"/>
      <c r="T1860" s="133"/>
      <c r="U1860" s="133"/>
      <c r="V1860" s="133"/>
      <c r="W1860" s="133"/>
      <c r="X1860" s="133"/>
      <c r="Y1860" s="133"/>
      <c r="Z1860" s="133"/>
    </row>
    <row r="1861" spans="1:26" s="9" customFormat="1" ht="15.75">
      <c r="A1861" s="131" t="s">
        <v>80</v>
      </c>
      <c r="B1861" s="45">
        <f t="shared" ref="B1861:G1861" si="2851">B352</f>
        <v>2.0285714285714285</v>
      </c>
      <c r="C1861" s="45">
        <f t="shared" si="2851"/>
        <v>2.2714285714285714</v>
      </c>
      <c r="D1861" s="45">
        <f t="shared" si="2851"/>
        <v>1.9285714285714286</v>
      </c>
      <c r="E1861" s="45">
        <f t="shared" si="2851"/>
        <v>1.0285714285714285</v>
      </c>
      <c r="F1861" s="45">
        <f t="shared" si="2851"/>
        <v>0.6</v>
      </c>
      <c r="G1861" s="45">
        <f t="shared" si="2851"/>
        <v>0.95714285714285718</v>
      </c>
      <c r="H1861" s="45">
        <f t="shared" ref="H1861:I1861" si="2852">H352</f>
        <v>1.3</v>
      </c>
      <c r="I1861" s="45">
        <f t="shared" si="2852"/>
        <v>2.157142857142857</v>
      </c>
      <c r="J1861" s="45">
        <f t="shared" ref="J1861:K1861" si="2853">J352</f>
        <v>2.0857142857142859</v>
      </c>
      <c r="K1861" s="45">
        <f t="shared" si="2853"/>
        <v>3.0428571428571427</v>
      </c>
      <c r="L1861" s="45">
        <f t="shared" ref="L1861:M1861" si="2854">L352</f>
        <v>2.8142857142857145</v>
      </c>
      <c r="M1861" s="45">
        <f t="shared" si="2854"/>
        <v>2.9</v>
      </c>
      <c r="N1861" s="155">
        <f t="shared" si="2843"/>
        <v>23.11428571428571</v>
      </c>
      <c r="O1861" s="45">
        <f t="shared" si="2844"/>
        <v>1.9261904761904758</v>
      </c>
      <c r="P1861" s="103"/>
      <c r="Q1861" s="103"/>
      <c r="R1861" s="103"/>
      <c r="S1861" s="103"/>
      <c r="T1861" s="103"/>
      <c r="U1861" s="103"/>
      <c r="V1861" s="103"/>
      <c r="W1861" s="103"/>
      <c r="X1861" s="103"/>
      <c r="Y1861" s="103"/>
      <c r="Z1861" s="103"/>
    </row>
    <row r="1862" spans="1:26" s="9" customFormat="1" ht="15.75">
      <c r="A1862" s="131" t="s">
        <v>291</v>
      </c>
      <c r="B1862" s="221">
        <f t="shared" ref="B1862:G1862" si="2855">B364</f>
        <v>8.4507042253521125E-2</v>
      </c>
      <c r="C1862" s="221">
        <f t="shared" si="2855"/>
        <v>0.10062893081761007</v>
      </c>
      <c r="D1862" s="221">
        <f t="shared" si="2855"/>
        <v>7.407407407407407E-2</v>
      </c>
      <c r="E1862" s="221">
        <f t="shared" si="2855"/>
        <v>0.19444444444444445</v>
      </c>
      <c r="F1862" s="221">
        <f t="shared" si="2855"/>
        <v>0.2857142857142857</v>
      </c>
      <c r="G1862" s="221">
        <f t="shared" si="2855"/>
        <v>0.17910447761194029</v>
      </c>
      <c r="H1862" s="221">
        <f t="shared" ref="H1862:I1862" si="2856">H364</f>
        <v>9.8901098901098897E-2</v>
      </c>
      <c r="I1862" s="221">
        <f t="shared" si="2856"/>
        <v>8.6092715231788075E-2</v>
      </c>
      <c r="J1862" s="221">
        <f t="shared" ref="J1862:K1862" si="2857">J364</f>
        <v>6.1643835616438353E-2</v>
      </c>
      <c r="K1862" s="221">
        <f t="shared" si="2857"/>
        <v>6.1032863849765258E-2</v>
      </c>
      <c r="L1862" s="221">
        <f t="shared" ref="L1862:M1862" si="2858">L364</f>
        <v>4.5685279187817257E-2</v>
      </c>
      <c r="M1862" s="221">
        <f t="shared" si="2858"/>
        <v>4.4334975369458129E-2</v>
      </c>
      <c r="N1862" s="221">
        <f t="shared" si="2843"/>
        <v>1.3161640230722418</v>
      </c>
      <c r="O1862" s="221">
        <f t="shared" si="2844"/>
        <v>0.10968033525602015</v>
      </c>
      <c r="P1862" s="103"/>
      <c r="Q1862" s="103"/>
      <c r="R1862" s="103"/>
      <c r="S1862" s="103"/>
      <c r="T1862" s="103"/>
      <c r="U1862" s="103"/>
      <c r="V1862" s="103"/>
      <c r="W1862" s="103"/>
      <c r="X1862" s="103"/>
      <c r="Y1862" s="103"/>
      <c r="Z1862" s="103"/>
    </row>
    <row r="1863" spans="1:26" s="9" customFormat="1" ht="15.75">
      <c r="A1863" s="134" t="s">
        <v>292</v>
      </c>
      <c r="B1863" s="221">
        <v>0</v>
      </c>
      <c r="C1863" s="221">
        <v>0</v>
      </c>
      <c r="D1863" s="221">
        <v>0</v>
      </c>
      <c r="E1863" s="221">
        <v>0</v>
      </c>
      <c r="F1863" s="221">
        <v>1.8100000000000002E-2</v>
      </c>
      <c r="G1863" s="221">
        <v>2.0799999999999999E-2</v>
      </c>
      <c r="H1863" s="221">
        <v>0</v>
      </c>
      <c r="I1863" s="221">
        <v>0</v>
      </c>
      <c r="J1863" s="221">
        <v>6.8999999999999999E-3</v>
      </c>
      <c r="K1863" s="476">
        <v>0</v>
      </c>
      <c r="L1863" s="476">
        <v>0</v>
      </c>
      <c r="M1863" s="476">
        <v>0</v>
      </c>
      <c r="N1863" s="155">
        <f t="shared" si="2843"/>
        <v>4.5800000000000007E-2</v>
      </c>
      <c r="O1863" s="221">
        <f t="shared" si="2844"/>
        <v>3.8166666666666674E-3</v>
      </c>
      <c r="P1863" s="135"/>
      <c r="Q1863" s="135"/>
      <c r="R1863" s="135"/>
      <c r="S1863" s="135"/>
      <c r="T1863" s="135"/>
      <c r="U1863" s="135"/>
      <c r="V1863" s="135"/>
      <c r="W1863" s="135"/>
      <c r="X1863" s="135"/>
      <c r="Y1863" s="135"/>
      <c r="Z1863" s="135"/>
    </row>
    <row r="1864" spans="1:26" s="9" customFormat="1" ht="15.75">
      <c r="A1864" s="131" t="s">
        <v>1</v>
      </c>
      <c r="B1864" s="324">
        <v>3.5200000000000002E-2</v>
      </c>
      <c r="C1864" s="324">
        <v>5.6599999999999998E-2</v>
      </c>
      <c r="D1864" s="324">
        <v>5.9299999999999999E-2</v>
      </c>
      <c r="E1864" s="324">
        <v>2.7699999999999999E-2</v>
      </c>
      <c r="F1864" s="324">
        <v>0.1666</v>
      </c>
      <c r="G1864" s="324">
        <v>7.46E-2</v>
      </c>
      <c r="H1864" s="324">
        <v>6.59E-2</v>
      </c>
      <c r="I1864" s="324">
        <v>3.9699999999999999E-2</v>
      </c>
      <c r="J1864" s="324">
        <v>4.1099999999999998E-2</v>
      </c>
      <c r="K1864" s="324">
        <v>5.16E-2</v>
      </c>
      <c r="L1864" s="324">
        <v>4.0599999999999997E-2</v>
      </c>
      <c r="M1864" s="324">
        <v>3.4500000000000003E-2</v>
      </c>
      <c r="N1864" s="221">
        <f>SUM(B1864:M1864)</f>
        <v>0.69339999999999991</v>
      </c>
      <c r="O1864" s="221">
        <f t="shared" si="2844"/>
        <v>5.7783333333333325E-2</v>
      </c>
      <c r="P1864" s="135"/>
      <c r="Q1864" s="135"/>
      <c r="R1864" s="135"/>
      <c r="S1864" s="135"/>
      <c r="T1864" s="135"/>
      <c r="U1864" s="135"/>
      <c r="V1864" s="135"/>
      <c r="W1864" s="135"/>
      <c r="X1864" s="135"/>
      <c r="Y1864" s="135"/>
      <c r="Z1864" s="135"/>
    </row>
    <row r="1865" spans="1:26" s="9" customFormat="1" ht="31.5">
      <c r="A1865" s="131" t="s">
        <v>293</v>
      </c>
      <c r="B1865" s="45">
        <f t="shared" ref="B1865:G1865" si="2859">B375</f>
        <v>6.258064516129032</v>
      </c>
      <c r="C1865" s="45">
        <f t="shared" si="2859"/>
        <v>5.9642857142857144</v>
      </c>
      <c r="D1865" s="45">
        <f t="shared" si="2859"/>
        <v>4.774193548387097</v>
      </c>
      <c r="E1865" s="45">
        <f t="shared" si="2859"/>
        <v>1.5</v>
      </c>
      <c r="F1865" s="45">
        <f t="shared" si="2859"/>
        <v>1.7741935483870968</v>
      </c>
      <c r="G1865" s="45">
        <f t="shared" si="2859"/>
        <v>2.3666666666666667</v>
      </c>
      <c r="H1865" s="45">
        <f t="shared" ref="H1865:I1865" si="2860">H375</f>
        <v>2.967741935483871</v>
      </c>
      <c r="I1865" s="45">
        <f t="shared" si="2860"/>
        <v>6.225806451612903</v>
      </c>
      <c r="J1865" s="45">
        <f t="shared" ref="J1865:K1865" si="2861">J375</f>
        <v>5.6333333333333337</v>
      </c>
      <c r="K1865" s="45">
        <f t="shared" si="2861"/>
        <v>7</v>
      </c>
      <c r="L1865" s="45">
        <f t="shared" ref="L1865:M1865" si="2862">L375</f>
        <v>6.7</v>
      </c>
      <c r="M1865" s="45">
        <f t="shared" si="2862"/>
        <v>7.5161290322580649</v>
      </c>
      <c r="N1865" s="155">
        <f t="shared" si="2843"/>
        <v>58.680414746543782</v>
      </c>
      <c r="O1865" s="45">
        <f t="shared" si="2844"/>
        <v>4.8900345622119819</v>
      </c>
      <c r="P1865" s="136"/>
      <c r="Q1865" s="136"/>
      <c r="R1865" s="136"/>
      <c r="S1865" s="136"/>
      <c r="T1865" s="136"/>
      <c r="U1865" s="136"/>
      <c r="V1865" s="136"/>
      <c r="W1865" s="136"/>
      <c r="X1865" s="136"/>
      <c r="Y1865" s="136"/>
      <c r="Z1865" s="135"/>
    </row>
    <row r="1866" spans="1:26" s="141" customFormat="1" ht="31.5">
      <c r="A1866" s="134" t="s">
        <v>294</v>
      </c>
      <c r="B1866" s="45">
        <f t="shared" ref="B1866:G1866" si="2863">B524</f>
        <v>98.354838709677423</v>
      </c>
      <c r="C1866" s="45">
        <f t="shared" si="2863"/>
        <v>99.107142857142861</v>
      </c>
      <c r="D1866" s="45">
        <f t="shared" si="2863"/>
        <v>79.774193548387103</v>
      </c>
      <c r="E1866" s="45">
        <f t="shared" si="2863"/>
        <v>35.06666666666667</v>
      </c>
      <c r="F1866" s="45">
        <f t="shared" si="2863"/>
        <v>26.870967741935484</v>
      </c>
      <c r="G1866" s="45">
        <f t="shared" si="2863"/>
        <v>66.333333333333329</v>
      </c>
      <c r="H1866" s="45">
        <f t="shared" ref="H1866:I1866" si="2864">H524</f>
        <v>89.806451612903231</v>
      </c>
      <c r="I1866" s="45">
        <f t="shared" si="2864"/>
        <v>98.903225806451616</v>
      </c>
      <c r="J1866" s="45">
        <f t="shared" ref="J1866:K1866" si="2865">J524</f>
        <v>103.66666666666667</v>
      </c>
      <c r="K1866" s="45">
        <f t="shared" si="2865"/>
        <v>99.258064516129039</v>
      </c>
      <c r="L1866" s="45">
        <f t="shared" ref="L1866:M1866" si="2866">L524</f>
        <v>112.3</v>
      </c>
      <c r="M1866" s="45">
        <f t="shared" si="2866"/>
        <v>96.41935483870968</v>
      </c>
      <c r="N1866" s="155">
        <f t="shared" si="2843"/>
        <v>1005.860906298003</v>
      </c>
      <c r="O1866" s="45">
        <f t="shared" si="2844"/>
        <v>83.821742191500249</v>
      </c>
      <c r="P1866" s="136"/>
      <c r="Q1866" s="136"/>
      <c r="R1866" s="136"/>
      <c r="S1866" s="136"/>
      <c r="T1866" s="136"/>
      <c r="U1866" s="136"/>
      <c r="V1866" s="136"/>
      <c r="W1866" s="136"/>
      <c r="X1866" s="136"/>
      <c r="Y1866" s="136"/>
      <c r="Z1866" s="140"/>
    </row>
    <row r="1867" spans="1:26" s="9" customFormat="1" ht="15.75">
      <c r="A1867" s="131" t="s">
        <v>295</v>
      </c>
      <c r="B1867" s="45">
        <f t="shared" ref="B1867:G1867" si="2867">B1646</f>
        <v>477.03225806451616</v>
      </c>
      <c r="C1867" s="45">
        <f t="shared" si="2867"/>
        <v>454.39285714285717</v>
      </c>
      <c r="D1867" s="45">
        <f t="shared" si="2867"/>
        <v>424.25806451612902</v>
      </c>
      <c r="E1867" s="45">
        <f t="shared" si="2867"/>
        <v>340.33333333333331</v>
      </c>
      <c r="F1867" s="45">
        <f t="shared" si="2867"/>
        <v>286.03225806451616</v>
      </c>
      <c r="G1867" s="45">
        <f t="shared" si="2867"/>
        <v>370.03333333333336</v>
      </c>
      <c r="H1867" s="45">
        <f t="shared" ref="H1867:I1867" si="2868">H1646</f>
        <v>421.64516129032256</v>
      </c>
      <c r="I1867" s="45">
        <f t="shared" si="2868"/>
        <v>453.38709677419354</v>
      </c>
      <c r="J1867" s="45">
        <f t="shared" ref="J1867:K1867" si="2869">J1646</f>
        <v>452.36666666666667</v>
      </c>
      <c r="K1867" s="45">
        <f t="shared" si="2869"/>
        <v>379.45161290322579</v>
      </c>
      <c r="L1867" s="45">
        <f t="shared" ref="L1867:M1867" si="2870">L1646</f>
        <v>381.03333333333336</v>
      </c>
      <c r="M1867" s="45">
        <f t="shared" si="2870"/>
        <v>405.38709677419354</v>
      </c>
      <c r="N1867" s="155">
        <f t="shared" si="2843"/>
        <v>4845.3530721966208</v>
      </c>
      <c r="O1867" s="45">
        <f t="shared" si="2844"/>
        <v>403.77942268305173</v>
      </c>
      <c r="P1867" s="136"/>
      <c r="Q1867" s="136"/>
      <c r="R1867" s="136"/>
      <c r="S1867" s="136"/>
      <c r="T1867" s="136"/>
      <c r="U1867" s="136"/>
      <c r="V1867" s="136"/>
      <c r="W1867" s="136"/>
      <c r="X1867" s="136"/>
      <c r="Y1867" s="136"/>
      <c r="Z1867" s="103"/>
    </row>
    <row r="1868" spans="1:26" s="9" customFormat="1" ht="15.75">
      <c r="A1868" s="131" t="s">
        <v>296</v>
      </c>
      <c r="B1868" s="45">
        <f t="shared" ref="B1868:G1868" si="2871">B1687</f>
        <v>243.76677419354837</v>
      </c>
      <c r="C1868" s="45">
        <f t="shared" si="2871"/>
        <v>259.93464285714288</v>
      </c>
      <c r="D1868" s="45">
        <f t="shared" si="2871"/>
        <v>236.64709677419353</v>
      </c>
      <c r="E1868" s="45">
        <f t="shared" si="2871"/>
        <v>199.51766666666666</v>
      </c>
      <c r="F1868" s="45">
        <f t="shared" si="2871"/>
        <v>200.1487096774193</v>
      </c>
      <c r="G1868" s="45">
        <f t="shared" si="2871"/>
        <v>195.54599999999999</v>
      </c>
      <c r="H1868" s="45">
        <f t="shared" ref="H1868:I1868" si="2872">H1687</f>
        <v>211.36451612903224</v>
      </c>
      <c r="I1868" s="45">
        <f t="shared" si="2872"/>
        <v>261.58193548387101</v>
      </c>
      <c r="J1868" s="45">
        <f t="shared" ref="J1868:K1868" si="2873">J1687</f>
        <v>256.76833333333332</v>
      </c>
      <c r="K1868" s="45">
        <f t="shared" si="2873"/>
        <v>256.80645161290323</v>
      </c>
      <c r="L1868" s="45">
        <f t="shared" ref="L1868:M1868" si="2874">L1687</f>
        <v>230.73700000000002</v>
      </c>
      <c r="M1868" s="45">
        <f t="shared" si="2874"/>
        <v>232.52967741935481</v>
      </c>
      <c r="N1868" s="155">
        <f t="shared" si="2843"/>
        <v>2785.3488041474657</v>
      </c>
      <c r="O1868" s="45">
        <f t="shared" si="2844"/>
        <v>232.11240034562215</v>
      </c>
    </row>
    <row r="1869" spans="1:26" ht="15.75">
      <c r="A1869" s="137"/>
      <c r="B1869" s="138"/>
      <c r="C1869" s="138"/>
      <c r="D1869" s="138"/>
      <c r="E1869" s="138"/>
      <c r="F1869" s="138"/>
      <c r="G1869" s="138"/>
      <c r="H1869" s="138"/>
      <c r="I1869" s="138"/>
      <c r="J1869" s="138"/>
      <c r="K1869" s="138"/>
      <c r="L1869" s="138"/>
      <c r="M1869" s="138"/>
      <c r="N1869" s="177"/>
      <c r="O1869" s="139"/>
    </row>
    <row r="1870" spans="1:26" ht="15.75">
      <c r="A1870" s="142" t="s">
        <v>297</v>
      </c>
      <c r="B1870" s="143">
        <v>31</v>
      </c>
      <c r="C1870" s="143">
        <v>28</v>
      </c>
      <c r="D1870" s="143">
        <v>31</v>
      </c>
      <c r="E1870" s="143">
        <v>30</v>
      </c>
      <c r="F1870" s="143">
        <v>31</v>
      </c>
      <c r="G1870" s="143">
        <v>30</v>
      </c>
      <c r="H1870" s="143">
        <v>31</v>
      </c>
      <c r="I1870" s="143">
        <v>31</v>
      </c>
      <c r="J1870" s="143">
        <v>30</v>
      </c>
      <c r="K1870" s="143">
        <v>31</v>
      </c>
      <c r="L1870" s="143">
        <v>30</v>
      </c>
      <c r="M1870" s="143">
        <v>31</v>
      </c>
      <c r="N1870" s="222">
        <f>SUM(B1870:M1870)</f>
        <v>365</v>
      </c>
      <c r="O1870" s="16"/>
    </row>
    <row r="1871" spans="1:26" ht="20.25" customHeight="1">
      <c r="A1871" s="315" t="s">
        <v>908</v>
      </c>
    </row>
    <row r="1903" spans="9:9">
      <c r="I1903" s="110" t="s">
        <v>732</v>
      </c>
    </row>
    <row r="1908" spans="14:15" ht="15.75">
      <c r="N1908" s="177"/>
      <c r="O1908" s="43"/>
    </row>
    <row r="1909" spans="14:15" ht="15.75">
      <c r="N1909" s="177"/>
      <c r="O1909" s="43"/>
    </row>
  </sheetData>
  <mergeCells count="2">
    <mergeCell ref="A1:O2"/>
    <mergeCell ref="A3:O4"/>
  </mergeCells>
  <pageMargins left="0.51181102362204722" right="0.32" top="0.33" bottom="0.34" header="0.31496062992125984" footer="0.27"/>
  <pageSetup paperSize="9" scale="64" fitToHeight="0" orientation="landscape" r:id="rId1"/>
  <rowBreaks count="24" manualBreakCount="24">
    <brk id="56" max="14" man="1"/>
    <brk id="111" max="14" man="1"/>
    <brk id="166" max="14" man="1"/>
    <brk id="221" max="14" man="1"/>
    <brk id="276" max="14" man="1"/>
    <brk id="331" max="14" man="1"/>
    <brk id="387" max="14" man="1"/>
    <brk id="439" max="14" man="1"/>
    <brk id="493" max="14" man="1"/>
    <brk id="1099" max="14" man="1"/>
    <brk id="1154" max="14" man="1"/>
    <brk id="1209" max="14" man="1"/>
    <brk id="1264" max="14" man="1"/>
    <brk id="1319" max="14" man="1"/>
    <brk id="1374" max="14" man="1"/>
    <brk id="1429" max="14" man="1"/>
    <brk id="1484" max="14" man="1"/>
    <brk id="1540" max="14" man="1"/>
    <brk id="1594" max="14" man="1"/>
    <brk id="1649" max="14" man="1"/>
    <brk id="1704" max="14" man="1"/>
    <brk id="1758" max="14" man="1"/>
    <brk id="1808" max="14" man="1"/>
    <brk id="1862" max="14" man="1"/>
  </rowBreaks>
  <ignoredErrors>
    <ignoredError sqref="N546:O546 N557:O558 N567:O568 N679:O684 N771:O776 N1622:O1624 O1774 N1590:O1590 N1563:O1564 N1512:O1514 N731:O736 N523:O523 N1720:O1724 N1854:O1862 N1618:O1618 N1816:O1847 N1849:O1851 N1863:N1864 B342 N1188:O1190 B1397 N1193:O1211 N1264:O1304 N1306:O1322 N1324:O1347 N1030:O1093 N1118:O1121 N1138:O1157 B309:B312 O1117 N1123:O1127 N1159:O1160 N1172:O1186 N1367:O1399 N956:O968 N970:O991 N1477:O1501 O1625:O1629 N1652:O1656 N1631:O1650 N1706:O1718 N1775:O1778 N1865:O1870 N1349:O1365 N788:O954 B318 N1565 N1506:O1510 N1516:O1516 N1660:O1667 C309:C318 N1672:O1687 N1592:O1593" formula="1"/>
    <ignoredError sqref="B471 B1848 B1849" evalError="1"/>
    <ignoredError sqref="B1721" formulaRange="1"/>
    <ignoredError sqref="N666:O670" unlockedFormula="1"/>
    <ignoredError sqref="N1848:O1848" evalError="1" formula="1"/>
  </ignoredError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ilha4">
    <tabColor rgb="FF7030A0"/>
  </sheetPr>
  <dimension ref="A1:M57"/>
  <sheetViews>
    <sheetView zoomScale="70" zoomScaleNormal="70" workbookViewId="0">
      <selection activeCell="Q13" sqref="Q13"/>
    </sheetView>
  </sheetViews>
  <sheetFormatPr defaultRowHeight="14.25"/>
  <cols>
    <col min="1" max="1" width="45.125" bestFit="1" customWidth="1"/>
    <col min="7" max="7" width="9.75" bestFit="1" customWidth="1"/>
    <col min="8" max="8" width="8.125" bestFit="1" customWidth="1"/>
  </cols>
  <sheetData>
    <row r="1" spans="1:13" s="4" customFormat="1" ht="15">
      <c r="A1" s="255" t="s">
        <v>2</v>
      </c>
      <c r="B1" s="258" t="s">
        <v>3</v>
      </c>
      <c r="C1" s="259" t="s">
        <v>4</v>
      </c>
      <c r="D1" s="259" t="s">
        <v>5</v>
      </c>
      <c r="E1" s="259" t="s">
        <v>6</v>
      </c>
      <c r="F1" s="259" t="s">
        <v>7</v>
      </c>
      <c r="G1" s="259" t="s">
        <v>8</v>
      </c>
      <c r="H1" s="259" t="s">
        <v>9</v>
      </c>
      <c r="I1" s="259" t="s">
        <v>10</v>
      </c>
      <c r="J1" s="259" t="s">
        <v>11</v>
      </c>
      <c r="K1" s="259" t="s">
        <v>12</v>
      </c>
      <c r="L1" s="259" t="s">
        <v>13</v>
      </c>
      <c r="M1" s="260" t="s">
        <v>14</v>
      </c>
    </row>
    <row r="2" spans="1:13" ht="15.75">
      <c r="A2" s="497" t="s">
        <v>76</v>
      </c>
      <c r="B2" s="498"/>
      <c r="C2" s="498"/>
      <c r="D2" s="498"/>
      <c r="E2" s="498"/>
      <c r="F2" s="498"/>
      <c r="G2" s="498"/>
      <c r="H2" s="498"/>
      <c r="I2" s="498"/>
      <c r="J2" s="498"/>
      <c r="K2" s="498"/>
      <c r="L2" s="498"/>
      <c r="M2" s="499"/>
    </row>
    <row r="3" spans="1:13" ht="15">
      <c r="A3" s="256" t="s">
        <v>18</v>
      </c>
      <c r="B3" s="181">
        <f>Plano_Estatístico_2020_HJB!B333</f>
        <v>0.50322580645161286</v>
      </c>
      <c r="C3" s="181">
        <f>Plano_Estatístico_2020_HJB!C333</f>
        <v>0.54642857142857137</v>
      </c>
      <c r="D3" s="181">
        <f>Plano_Estatístico_2020_HJB!D333</f>
        <v>0.41129032258064518</v>
      </c>
      <c r="E3" s="181">
        <f>Plano_Estatístico_2020_HJB!E333</f>
        <v>0.185</v>
      </c>
      <c r="F3" s="181">
        <f>Plano_Estatístico_2020_HJB!F333</f>
        <v>0.25645161290322582</v>
      </c>
      <c r="G3" s="181">
        <f>Plano_Estatístico_2020_HJB!G333</f>
        <v>0.55500000000000005</v>
      </c>
      <c r="H3" s="181">
        <f>Plano_Estatístico_2020_HJB!H333</f>
        <v>0.57903225806451608</v>
      </c>
      <c r="I3" s="181">
        <f>Plano_Estatístico_2020_HJB!I333</f>
        <v>0.717741935483871</v>
      </c>
      <c r="J3" s="181">
        <f>Plano_Estatístico_2020_HJB!J333</f>
        <v>0.60499999999999998</v>
      </c>
      <c r="K3" s="181">
        <f>Plano_Estatístico_2020_HJB!K333</f>
        <v>0.58064516129032262</v>
      </c>
      <c r="L3" s="181">
        <f>Plano_Estatístico_2020_HJB!L333</f>
        <v>0.60583333333333333</v>
      </c>
      <c r="M3" s="181">
        <f>Plano_Estatístico_2020_HJB!M333</f>
        <v>0.6411290322580645</v>
      </c>
    </row>
    <row r="4" spans="1:13" ht="15">
      <c r="A4" s="257" t="s">
        <v>19</v>
      </c>
      <c r="B4" s="181">
        <f>Plano_Estatístico_2020_HJB!B334</f>
        <v>0.82016129032258067</v>
      </c>
      <c r="C4" s="181">
        <f>Plano_Estatístico_2020_HJB!C334</f>
        <v>0.80089285714285718</v>
      </c>
      <c r="D4" s="181">
        <f>Plano_Estatístico_2020_HJB!D334</f>
        <v>0.76129032258064511</v>
      </c>
      <c r="E4" s="181">
        <f>Plano_Estatístico_2020_HJB!E334</f>
        <v>0.63500000000000001</v>
      </c>
      <c r="F4" s="181">
        <f>Plano_Estatístico_2020_HJB!F334</f>
        <v>0.50564516129032255</v>
      </c>
      <c r="G4" s="181">
        <f>Plano_Estatístico_2020_HJB!G334</f>
        <v>0.5625</v>
      </c>
      <c r="H4" s="181">
        <f>Plano_Estatístico_2020_HJB!H334</f>
        <v>0.70483870967741935</v>
      </c>
      <c r="I4" s="181">
        <f>Plano_Estatístico_2020_HJB!I334</f>
        <v>0.77741935483870972</v>
      </c>
      <c r="J4" s="181">
        <f>Plano_Estatístico_2020_HJB!J334</f>
        <v>0.76833333333333331</v>
      </c>
      <c r="K4" s="181">
        <f>Plano_Estatístico_2020_HJB!K334</f>
        <v>0.625</v>
      </c>
      <c r="L4" s="181">
        <f>Plano_Estatístico_2020_HJB!L334</f>
        <v>0.67500000000000004</v>
      </c>
      <c r="M4" s="181">
        <f>Plano_Estatístico_2020_HJB!M334</f>
        <v>0.67741935483870963</v>
      </c>
    </row>
    <row r="5" spans="1:13" ht="15">
      <c r="A5" s="257" t="s">
        <v>20</v>
      </c>
      <c r="B5" s="181">
        <f>Plano_Estatístico_2020_HJB!B335</f>
        <v>0.63548387096774195</v>
      </c>
      <c r="C5" s="181">
        <f>Plano_Estatístico_2020_HJB!C335</f>
        <v>0.61071428571428577</v>
      </c>
      <c r="D5" s="181">
        <f>Plano_Estatístico_2020_HJB!D335</f>
        <v>0.58064516129032262</v>
      </c>
      <c r="E5" s="181">
        <f>Plano_Estatístico_2020_HJB!E335</f>
        <v>0.42666666666666669</v>
      </c>
      <c r="F5" s="181">
        <f>Plano_Estatístico_2020_HJB!F335</f>
        <v>0.4258064516129032</v>
      </c>
      <c r="G5" s="181">
        <f>Plano_Estatístico_2020_HJB!G335</f>
        <v>0.46333333333333332</v>
      </c>
      <c r="H5" s="181">
        <f>Plano_Estatístico_2020_HJB!H335</f>
        <v>0.48064516129032259</v>
      </c>
      <c r="I5" s="181">
        <f>Plano_Estatístico_2020_HJB!I335</f>
        <v>0.61612903225806448</v>
      </c>
      <c r="J5" s="181">
        <f>Plano_Estatístico_2020_HJB!J335</f>
        <v>0.79666666666666663</v>
      </c>
      <c r="K5" s="181">
        <f>Plano_Estatístico_2020_HJB!K335</f>
        <v>0.48709677419354841</v>
      </c>
      <c r="L5" s="181">
        <f>Plano_Estatístico_2020_HJB!L335</f>
        <v>0.39666666666666667</v>
      </c>
      <c r="M5" s="181">
        <f>Plano_Estatístico_2020_HJB!M335</f>
        <v>0.50645161290322582</v>
      </c>
    </row>
    <row r="6" spans="1:13" ht="15.75">
      <c r="A6" s="204" t="s">
        <v>77</v>
      </c>
      <c r="B6" s="179">
        <f>Plano_Estatístico_2020_HJB!B336</f>
        <v>0.70322580645161292</v>
      </c>
      <c r="C6" s="179">
        <f>Plano_Estatístico_2020_HJB!C336</f>
        <v>0.70102040816326527</v>
      </c>
      <c r="D6" s="179">
        <f>Plano_Estatístico_2020_HJB!D336</f>
        <v>0.63548387096774195</v>
      </c>
      <c r="E6" s="179">
        <f>Plano_Estatístico_2020_HJB!E336</f>
        <v>0.47666666666666668</v>
      </c>
      <c r="F6" s="179">
        <f>Plano_Estatístico_2020_HJB!F336</f>
        <v>0.42304147465437786</v>
      </c>
      <c r="G6" s="179">
        <f>Plano_Estatístico_2020_HJB!G336</f>
        <v>0.54619047619047623</v>
      </c>
      <c r="H6" s="179">
        <f>Plano_Estatístico_2020_HJB!H336</f>
        <v>0.63686635944700465</v>
      </c>
      <c r="I6" s="179">
        <f>Plano_Estatístico_2020_HJB!I336</f>
        <v>0.73732718894009219</v>
      </c>
      <c r="J6" s="179">
        <f>Plano_Estatístico_2020_HJB!J336</f>
        <v>0.72571428571428576</v>
      </c>
      <c r="K6" s="179">
        <f>Plano_Estatístico_2020_HJB!K336</f>
        <v>0.59262672811059913</v>
      </c>
      <c r="L6" s="179">
        <f>Plano_Estatístico_2020_HJB!L336</f>
        <v>0.59571428571428575</v>
      </c>
      <c r="M6" s="179">
        <f>Plano_Estatístico_2020_HJB!M336</f>
        <v>0.63225806451612898</v>
      </c>
    </row>
    <row r="7" spans="1:13">
      <c r="A7" s="422"/>
      <c r="B7" s="422"/>
      <c r="C7" s="422"/>
      <c r="D7" s="422"/>
      <c r="E7" s="422"/>
      <c r="F7" s="422"/>
      <c r="G7" s="422"/>
      <c r="H7" s="422"/>
      <c r="I7" s="422"/>
      <c r="J7" s="422"/>
      <c r="K7" s="422"/>
      <c r="L7" s="422"/>
      <c r="M7" s="422"/>
    </row>
    <row r="8" spans="1:13">
      <c r="A8" s="422"/>
      <c r="B8" s="422"/>
      <c r="C8" s="422"/>
      <c r="D8" s="422"/>
      <c r="E8" s="422"/>
      <c r="F8" s="422"/>
      <c r="G8" s="422"/>
      <c r="H8" s="422"/>
      <c r="I8" s="422"/>
      <c r="J8" s="422"/>
      <c r="K8" s="422"/>
      <c r="L8" s="422"/>
      <c r="M8" s="422"/>
    </row>
    <row r="9" spans="1:13">
      <c r="A9" s="422"/>
      <c r="B9" s="422"/>
      <c r="C9" s="422"/>
      <c r="D9" s="422"/>
      <c r="E9" s="422"/>
      <c r="F9" s="422"/>
      <c r="G9" s="422"/>
      <c r="H9" s="422"/>
      <c r="I9" s="422"/>
      <c r="J9" s="422"/>
      <c r="K9" s="422"/>
      <c r="L9" s="422"/>
      <c r="M9" s="422"/>
    </row>
    <row r="10" spans="1:13">
      <c r="A10" s="422"/>
      <c r="B10" s="422"/>
      <c r="C10" s="422"/>
      <c r="D10" s="422"/>
      <c r="E10" s="422"/>
      <c r="F10" s="422"/>
      <c r="G10" s="422"/>
      <c r="H10" s="422"/>
      <c r="I10" s="422"/>
      <c r="J10" s="422"/>
      <c r="K10" s="422"/>
      <c r="L10" s="422"/>
      <c r="M10" s="422"/>
    </row>
    <row r="11" spans="1:13">
      <c r="A11" s="422"/>
      <c r="B11" s="422"/>
      <c r="C11" s="422"/>
      <c r="D11" s="422"/>
      <c r="E11" s="422"/>
      <c r="F11" s="422"/>
      <c r="G11" s="422"/>
      <c r="H11" s="422"/>
      <c r="I11" s="422"/>
      <c r="J11" s="422"/>
      <c r="K11" s="422"/>
      <c r="L11" s="422"/>
      <c r="M11" s="422"/>
    </row>
    <row r="12" spans="1:13">
      <c r="A12" s="422"/>
      <c r="B12" s="422"/>
      <c r="C12" s="422"/>
      <c r="D12" s="422"/>
      <c r="E12" s="422"/>
      <c r="F12" s="422"/>
      <c r="G12" s="422"/>
      <c r="H12" s="422"/>
      <c r="I12" s="422"/>
      <c r="J12" s="422"/>
      <c r="K12" s="422"/>
      <c r="L12" s="422"/>
      <c r="M12" s="422"/>
    </row>
    <row r="13" spans="1:13">
      <c r="A13" s="422"/>
      <c r="B13" s="422"/>
      <c r="C13" s="422"/>
      <c r="D13" s="422"/>
      <c r="E13" s="422"/>
      <c r="F13" s="422"/>
      <c r="G13" s="422"/>
      <c r="H13" s="422"/>
      <c r="I13" s="422"/>
      <c r="J13" s="422"/>
      <c r="K13" s="422"/>
      <c r="L13" s="422"/>
      <c r="M13" s="422"/>
    </row>
    <row r="14" spans="1:13">
      <c r="A14" s="422"/>
      <c r="B14" s="422"/>
      <c r="C14" s="422"/>
      <c r="D14" s="422"/>
      <c r="E14" s="422"/>
      <c r="F14" s="422"/>
      <c r="G14" s="422"/>
      <c r="H14" s="422"/>
      <c r="I14" s="422"/>
      <c r="J14" s="422"/>
      <c r="K14" s="422"/>
      <c r="L14" s="422"/>
      <c r="M14" s="422"/>
    </row>
    <row r="15" spans="1:13">
      <c r="A15" s="422"/>
      <c r="B15" s="422"/>
      <c r="C15" s="422"/>
      <c r="D15" s="422"/>
      <c r="E15" s="422"/>
      <c r="F15" s="422"/>
      <c r="G15" s="422"/>
      <c r="H15" s="422"/>
      <c r="I15" s="422"/>
      <c r="J15" s="422"/>
      <c r="K15" s="422"/>
      <c r="L15" s="422"/>
      <c r="M15" s="422"/>
    </row>
    <row r="16" spans="1:13">
      <c r="A16" s="422"/>
      <c r="B16" s="422"/>
      <c r="C16" s="422"/>
      <c r="D16" s="422"/>
      <c r="E16" s="422"/>
      <c r="F16" s="422"/>
      <c r="G16" s="422"/>
      <c r="H16" s="422"/>
      <c r="I16" s="422"/>
      <c r="J16" s="422"/>
      <c r="K16" s="422"/>
      <c r="L16" s="422"/>
      <c r="M16" s="422"/>
    </row>
    <row r="17" spans="1:13">
      <c r="A17" s="422"/>
      <c r="B17" s="422"/>
      <c r="C17" s="422"/>
      <c r="D17" s="422"/>
      <c r="E17" s="422"/>
      <c r="F17" s="422"/>
      <c r="G17" s="422"/>
      <c r="H17" s="422"/>
      <c r="I17" s="422"/>
      <c r="J17" s="422"/>
      <c r="K17" s="422"/>
      <c r="L17" s="422"/>
      <c r="M17" s="422"/>
    </row>
    <row r="18" spans="1:13">
      <c r="A18" s="422"/>
      <c r="B18" s="422"/>
      <c r="C18" s="422"/>
      <c r="D18" s="422"/>
      <c r="E18" s="422"/>
      <c r="F18" s="422"/>
      <c r="G18" s="422"/>
      <c r="H18" s="422"/>
      <c r="I18" s="422"/>
      <c r="J18" s="422"/>
      <c r="K18" s="422"/>
      <c r="L18" s="422"/>
      <c r="M18" s="422"/>
    </row>
    <row r="19" spans="1:13">
      <c r="A19" s="422"/>
      <c r="B19" s="422"/>
      <c r="C19" s="422"/>
      <c r="D19" s="422"/>
      <c r="E19" s="422"/>
      <c r="F19" s="422"/>
      <c r="G19" s="422"/>
      <c r="H19" s="422"/>
      <c r="I19" s="422"/>
      <c r="J19" s="422"/>
      <c r="K19" s="422"/>
      <c r="L19" s="422"/>
      <c r="M19" s="422"/>
    </row>
    <row r="20" spans="1:13">
      <c r="A20" s="422"/>
      <c r="B20" s="422"/>
      <c r="C20" s="422"/>
      <c r="D20" s="422"/>
      <c r="E20" s="422"/>
      <c r="F20" s="422"/>
      <c r="G20" s="422"/>
      <c r="H20" s="422"/>
      <c r="I20" s="422"/>
      <c r="J20" s="422"/>
      <c r="K20" s="422"/>
      <c r="L20" s="422"/>
      <c r="M20" s="422"/>
    </row>
    <row r="21" spans="1:13">
      <c r="A21" s="422"/>
      <c r="B21" s="422"/>
      <c r="C21" s="422"/>
      <c r="D21" s="422"/>
      <c r="E21" s="422"/>
      <c r="F21" s="422"/>
      <c r="G21" s="422"/>
      <c r="H21" s="422"/>
      <c r="I21" s="422"/>
      <c r="J21" s="422"/>
      <c r="K21" s="422"/>
      <c r="L21" s="422"/>
      <c r="M21" s="422"/>
    </row>
    <row r="22" spans="1:13">
      <c r="A22" s="422"/>
      <c r="B22" s="422"/>
      <c r="C22" s="422"/>
      <c r="D22" s="422"/>
      <c r="E22" s="422"/>
      <c r="F22" s="422"/>
      <c r="G22" s="422"/>
      <c r="H22" s="422"/>
      <c r="I22" s="422"/>
      <c r="J22" s="422"/>
      <c r="K22" s="422"/>
      <c r="L22" s="422"/>
      <c r="M22" s="422"/>
    </row>
    <row r="23" spans="1:13">
      <c r="A23" s="422"/>
      <c r="B23" s="422"/>
      <c r="C23" s="422"/>
      <c r="D23" s="422"/>
      <c r="E23" s="422"/>
      <c r="F23" s="422"/>
      <c r="G23" s="422"/>
      <c r="H23" s="422"/>
      <c r="I23" s="422"/>
      <c r="J23" s="422"/>
      <c r="K23" s="422"/>
      <c r="L23" s="422"/>
      <c r="M23" s="422"/>
    </row>
    <row r="24" spans="1:13">
      <c r="A24" s="422"/>
      <c r="B24" s="422"/>
      <c r="C24" s="422"/>
      <c r="D24" s="422"/>
      <c r="E24" s="422"/>
      <c r="F24" s="422"/>
      <c r="G24" s="422"/>
      <c r="H24" s="422"/>
      <c r="I24" s="422"/>
      <c r="J24" s="422"/>
      <c r="K24" s="422"/>
      <c r="L24" s="422"/>
      <c r="M24" s="422"/>
    </row>
    <row r="25" spans="1:13">
      <c r="A25" s="422"/>
      <c r="B25" s="422"/>
      <c r="C25" s="422"/>
      <c r="D25" s="422"/>
      <c r="E25" s="422"/>
      <c r="F25" s="422"/>
      <c r="G25" s="422"/>
      <c r="H25" s="422"/>
      <c r="I25" s="422"/>
      <c r="J25" s="422"/>
      <c r="K25" s="422"/>
      <c r="L25" s="422"/>
      <c r="M25" s="422"/>
    </row>
    <row r="26" spans="1:13">
      <c r="A26" s="422"/>
      <c r="B26" s="422"/>
      <c r="C26" s="422"/>
      <c r="D26" s="422"/>
      <c r="E26" s="422"/>
      <c r="F26" s="422"/>
      <c r="G26" s="422"/>
      <c r="H26" s="422"/>
      <c r="I26" s="422"/>
      <c r="J26" s="422"/>
      <c r="K26" s="422"/>
      <c r="L26" s="422"/>
      <c r="M26" s="422"/>
    </row>
    <row r="27" spans="1:13">
      <c r="A27" s="422"/>
      <c r="B27" s="422"/>
      <c r="C27" s="422"/>
      <c r="D27" s="422"/>
      <c r="E27" s="422"/>
      <c r="F27" s="422"/>
      <c r="G27" s="422"/>
      <c r="H27" s="422"/>
      <c r="I27" s="422"/>
      <c r="J27" s="422"/>
      <c r="K27" s="422"/>
      <c r="L27" s="422"/>
      <c r="M27" s="422"/>
    </row>
    <row r="28" spans="1:13">
      <c r="A28" s="422"/>
      <c r="B28" s="422"/>
      <c r="C28" s="422"/>
      <c r="D28" s="422"/>
      <c r="E28" s="422"/>
      <c r="F28" s="422"/>
      <c r="G28" s="422"/>
      <c r="H28" s="422"/>
      <c r="I28" s="422"/>
      <c r="J28" s="422"/>
      <c r="K28" s="422"/>
      <c r="L28" s="422"/>
      <c r="M28" s="422"/>
    </row>
    <row r="29" spans="1:13">
      <c r="A29" s="422"/>
      <c r="B29" s="422"/>
      <c r="C29" s="422"/>
      <c r="D29" s="422"/>
      <c r="E29" s="422"/>
      <c r="F29" s="422"/>
      <c r="G29" s="422"/>
      <c r="H29" s="422"/>
      <c r="I29" s="422"/>
      <c r="J29" s="422"/>
      <c r="K29" s="422"/>
      <c r="L29" s="422"/>
      <c r="M29" s="422"/>
    </row>
    <row r="30" spans="1:13">
      <c r="A30" s="422"/>
      <c r="B30" s="422"/>
      <c r="C30" s="422"/>
      <c r="D30" s="422"/>
      <c r="E30" s="422"/>
      <c r="F30" s="422"/>
      <c r="G30" s="422"/>
      <c r="H30" s="422"/>
      <c r="I30" s="422"/>
      <c r="J30" s="422"/>
      <c r="K30" s="422"/>
      <c r="L30" s="422"/>
      <c r="M30" s="422"/>
    </row>
    <row r="31" spans="1:13">
      <c r="A31" s="422"/>
      <c r="B31" s="422"/>
      <c r="C31" s="422"/>
      <c r="D31" s="422"/>
      <c r="E31" s="422"/>
      <c r="F31" s="422"/>
      <c r="G31" s="422"/>
      <c r="H31" s="422"/>
      <c r="I31" s="422"/>
      <c r="J31" s="422"/>
      <c r="K31" s="422"/>
      <c r="L31" s="422"/>
      <c r="M31" s="422"/>
    </row>
    <row r="32" spans="1:13">
      <c r="A32" s="422"/>
      <c r="B32" s="422"/>
      <c r="C32" s="422"/>
      <c r="D32" s="422"/>
      <c r="E32" s="422"/>
      <c r="F32" s="422"/>
      <c r="G32" s="422"/>
      <c r="H32" s="422"/>
      <c r="I32" s="422"/>
      <c r="J32" s="422"/>
      <c r="K32" s="422"/>
      <c r="L32" s="422"/>
      <c r="M32" s="422"/>
    </row>
    <row r="33" spans="1:13">
      <c r="A33" s="422"/>
      <c r="B33" s="422"/>
      <c r="C33" s="422"/>
      <c r="D33" s="422"/>
      <c r="E33" s="422"/>
      <c r="F33" s="422"/>
      <c r="G33" s="422"/>
      <c r="H33" s="422"/>
      <c r="I33" s="422"/>
      <c r="J33" s="422"/>
      <c r="K33" s="422"/>
      <c r="L33" s="422"/>
      <c r="M33" s="422"/>
    </row>
    <row r="34" spans="1:13">
      <c r="A34" s="422"/>
      <c r="B34" s="422"/>
      <c r="C34" s="422"/>
      <c r="D34" s="422"/>
      <c r="E34" s="422"/>
      <c r="F34" s="422"/>
      <c r="G34" s="422"/>
      <c r="H34" s="422"/>
      <c r="I34" s="422"/>
      <c r="J34" s="422"/>
      <c r="K34" s="422"/>
      <c r="L34" s="422"/>
      <c r="M34" s="422"/>
    </row>
    <row r="35" spans="1:13">
      <c r="A35" s="422"/>
      <c r="B35" s="422"/>
      <c r="C35" s="422"/>
      <c r="D35" s="422"/>
      <c r="E35" s="422"/>
      <c r="F35" s="422"/>
      <c r="G35" s="422"/>
      <c r="H35" s="422"/>
      <c r="I35" s="422"/>
      <c r="J35" s="422"/>
      <c r="K35" s="422"/>
      <c r="L35" s="422"/>
      <c r="M35" s="422"/>
    </row>
    <row r="36" spans="1:13">
      <c r="A36" s="422"/>
      <c r="B36" s="422"/>
      <c r="C36" s="422"/>
      <c r="D36" s="422"/>
      <c r="E36" s="422"/>
      <c r="F36" s="422"/>
      <c r="G36" s="422"/>
      <c r="H36" s="422"/>
      <c r="I36" s="422"/>
      <c r="J36" s="422"/>
      <c r="K36" s="422"/>
      <c r="L36" s="422"/>
      <c r="M36" s="422"/>
    </row>
    <row r="37" spans="1:13">
      <c r="A37" s="422"/>
      <c r="B37" s="422"/>
      <c r="C37" s="422"/>
      <c r="D37" s="422"/>
      <c r="E37" s="422"/>
      <c r="F37" s="422"/>
      <c r="G37" s="422"/>
      <c r="H37" s="422"/>
      <c r="I37" s="422"/>
      <c r="J37" s="422"/>
      <c r="K37" s="422"/>
      <c r="L37" s="422"/>
      <c r="M37" s="422"/>
    </row>
    <row r="38" spans="1:13">
      <c r="A38" s="422"/>
      <c r="B38" s="422"/>
      <c r="C38" s="422"/>
      <c r="D38" s="422"/>
      <c r="E38" s="422"/>
      <c r="F38" s="422"/>
      <c r="G38" s="422"/>
      <c r="H38" s="422"/>
      <c r="I38" s="422"/>
      <c r="J38" s="422"/>
      <c r="K38" s="422"/>
      <c r="L38" s="422"/>
      <c r="M38" s="422"/>
    </row>
    <row r="39" spans="1:13">
      <c r="A39" s="422"/>
      <c r="B39" s="422"/>
      <c r="C39" s="422"/>
      <c r="D39" s="422"/>
      <c r="E39" s="422"/>
      <c r="F39" s="422"/>
      <c r="G39" s="422"/>
      <c r="H39" s="422"/>
      <c r="I39" s="422"/>
      <c r="J39" s="422"/>
      <c r="K39" s="422"/>
      <c r="L39" s="422"/>
      <c r="M39" s="422"/>
    </row>
    <row r="40" spans="1:13">
      <c r="A40" s="422"/>
      <c r="B40" s="422"/>
      <c r="C40" s="422"/>
      <c r="D40" s="422"/>
      <c r="E40" s="422"/>
      <c r="F40" s="422"/>
      <c r="G40" s="422"/>
      <c r="H40" s="422"/>
      <c r="I40" s="422"/>
      <c r="J40" s="422"/>
      <c r="K40" s="422"/>
      <c r="L40" s="422"/>
      <c r="M40" s="422"/>
    </row>
    <row r="41" spans="1:13">
      <c r="A41" s="422"/>
      <c r="B41" s="422"/>
      <c r="C41" s="422"/>
      <c r="D41" s="422"/>
      <c r="E41" s="422"/>
      <c r="F41" s="422"/>
      <c r="G41" s="422"/>
      <c r="H41" s="422"/>
      <c r="I41" s="422"/>
      <c r="J41" s="422"/>
      <c r="K41" s="422"/>
      <c r="L41" s="422"/>
      <c r="M41" s="422"/>
    </row>
    <row r="42" spans="1:13">
      <c r="A42" s="422"/>
      <c r="B42" s="422"/>
      <c r="C42" s="422"/>
      <c r="D42" s="422"/>
      <c r="E42" s="422"/>
      <c r="F42" s="422"/>
      <c r="G42" s="422"/>
      <c r="H42" s="422"/>
      <c r="I42" s="422"/>
      <c r="J42" s="422"/>
      <c r="K42" s="422"/>
      <c r="L42" s="422"/>
      <c r="M42" s="422"/>
    </row>
    <row r="43" spans="1:13">
      <c r="A43" s="422"/>
      <c r="B43" s="422"/>
      <c r="C43" s="422"/>
      <c r="D43" s="422"/>
      <c r="E43" s="422"/>
      <c r="F43" s="422"/>
      <c r="G43" s="422"/>
      <c r="H43" s="422"/>
      <c r="I43" s="422"/>
      <c r="J43" s="422"/>
      <c r="K43" s="422"/>
      <c r="L43" s="422"/>
      <c r="M43" s="422"/>
    </row>
    <row r="44" spans="1:13">
      <c r="A44" s="422"/>
      <c r="B44" s="422"/>
      <c r="C44" s="422"/>
      <c r="D44" s="422"/>
      <c r="E44" s="422"/>
      <c r="F44" s="422"/>
      <c r="G44" s="422"/>
      <c r="H44" s="422"/>
      <c r="I44" s="422"/>
      <c r="J44" s="422"/>
      <c r="K44" s="422"/>
      <c r="L44" s="422"/>
      <c r="M44" s="422"/>
    </row>
    <row r="45" spans="1:13">
      <c r="A45" s="422"/>
      <c r="B45" s="422"/>
      <c r="C45" s="422"/>
      <c r="D45" s="422"/>
      <c r="E45" s="422"/>
      <c r="F45" s="422"/>
      <c r="G45" s="422"/>
      <c r="H45" s="422"/>
      <c r="I45" s="422"/>
      <c r="J45" s="422"/>
      <c r="K45" s="422"/>
      <c r="L45" s="422"/>
      <c r="M45" s="422"/>
    </row>
    <row r="46" spans="1:13">
      <c r="A46" s="422"/>
      <c r="B46" s="422"/>
      <c r="C46" s="422"/>
      <c r="D46" s="422"/>
      <c r="E46" s="422"/>
      <c r="F46" s="422"/>
      <c r="G46" s="422"/>
      <c r="H46" s="422"/>
      <c r="I46" s="422"/>
      <c r="J46" s="422"/>
      <c r="K46" s="422"/>
      <c r="L46" s="422"/>
      <c r="M46" s="422"/>
    </row>
    <row r="47" spans="1:13">
      <c r="A47" s="422"/>
      <c r="B47" s="422"/>
      <c r="C47" s="422"/>
      <c r="D47" s="422"/>
      <c r="E47" s="422"/>
      <c r="F47" s="422"/>
      <c r="G47" s="422"/>
      <c r="H47" s="422"/>
      <c r="I47" s="422"/>
      <c r="J47" s="422"/>
      <c r="K47" s="422"/>
      <c r="L47" s="422"/>
      <c r="M47" s="422"/>
    </row>
    <row r="48" spans="1:13">
      <c r="A48" s="422"/>
      <c r="B48" s="422"/>
      <c r="C48" s="422"/>
      <c r="D48" s="422"/>
      <c r="E48" s="422"/>
      <c r="F48" s="422"/>
      <c r="G48" s="422"/>
      <c r="H48" s="422"/>
      <c r="I48" s="422"/>
      <c r="J48" s="422"/>
      <c r="K48" s="422"/>
      <c r="L48" s="422"/>
      <c r="M48" s="422"/>
    </row>
    <row r="49" spans="1:13">
      <c r="A49" s="422"/>
      <c r="B49" s="422"/>
      <c r="C49" s="422"/>
      <c r="D49" s="422"/>
      <c r="E49" s="422"/>
      <c r="F49" s="422"/>
      <c r="G49" s="422"/>
      <c r="H49" s="422"/>
      <c r="I49" s="422"/>
      <c r="J49" s="422"/>
      <c r="K49" s="422"/>
      <c r="L49" s="422"/>
      <c r="M49" s="422"/>
    </row>
    <row r="50" spans="1:13">
      <c r="A50" s="422"/>
      <c r="B50" s="422"/>
      <c r="C50" s="422"/>
      <c r="D50" s="422"/>
      <c r="E50" s="422"/>
      <c r="F50" s="422"/>
      <c r="G50" s="422"/>
      <c r="H50" s="422"/>
      <c r="I50" s="422"/>
      <c r="J50" s="422"/>
      <c r="K50" s="422"/>
      <c r="L50" s="422"/>
      <c r="M50" s="422"/>
    </row>
    <row r="51" spans="1:13">
      <c r="A51" s="422"/>
      <c r="B51" s="422"/>
      <c r="C51" s="422"/>
      <c r="D51" s="422"/>
      <c r="E51" s="422"/>
      <c r="F51" s="422"/>
      <c r="G51" s="422"/>
      <c r="H51" s="422"/>
      <c r="I51" s="422"/>
      <c r="J51" s="422"/>
      <c r="K51" s="422"/>
      <c r="L51" s="422"/>
      <c r="M51" s="422"/>
    </row>
    <row r="52" spans="1:13">
      <c r="A52" s="422"/>
      <c r="B52" s="422"/>
      <c r="C52" s="422"/>
      <c r="D52" s="422"/>
      <c r="E52" s="422"/>
      <c r="F52" s="422"/>
      <c r="G52" s="422"/>
      <c r="H52" s="422"/>
      <c r="I52" s="422"/>
      <c r="J52" s="422"/>
      <c r="K52" s="422"/>
      <c r="L52" s="422"/>
      <c r="M52" s="422"/>
    </row>
    <row r="53" spans="1:13">
      <c r="A53" s="422"/>
      <c r="B53" s="422"/>
      <c r="C53" s="422"/>
      <c r="D53" s="422"/>
      <c r="E53" s="422"/>
      <c r="F53" s="422"/>
      <c r="G53" s="422"/>
      <c r="H53" s="422"/>
      <c r="I53" s="422"/>
      <c r="J53" s="422"/>
      <c r="K53" s="422"/>
      <c r="L53" s="422"/>
      <c r="M53" s="422"/>
    </row>
    <row r="54" spans="1:13">
      <c r="A54" s="422"/>
      <c r="B54" s="422"/>
      <c r="C54" s="422"/>
      <c r="D54" s="422"/>
      <c r="E54" s="422"/>
      <c r="F54" s="422"/>
      <c r="G54" s="422"/>
      <c r="H54" s="422"/>
      <c r="I54" s="422"/>
      <c r="J54" s="422"/>
      <c r="K54" s="422"/>
      <c r="L54" s="422"/>
      <c r="M54" s="422"/>
    </row>
    <row r="55" spans="1:13">
      <c r="A55" s="422"/>
      <c r="B55" s="422"/>
      <c r="C55" s="422"/>
      <c r="D55" s="422"/>
      <c r="E55" s="422"/>
      <c r="F55" s="422"/>
      <c r="G55" s="422"/>
      <c r="H55" s="422"/>
      <c r="I55" s="422"/>
      <c r="J55" s="422"/>
      <c r="K55" s="422"/>
      <c r="L55" s="422"/>
      <c r="M55" s="422"/>
    </row>
    <row r="56" spans="1:13">
      <c r="A56" s="422"/>
      <c r="B56" s="422"/>
      <c r="C56" s="422"/>
      <c r="D56" s="422"/>
      <c r="E56" s="422"/>
      <c r="F56" s="422"/>
      <c r="G56" s="422"/>
      <c r="H56" s="422"/>
      <c r="I56" s="422"/>
      <c r="J56" s="422"/>
      <c r="K56" s="422"/>
      <c r="L56" s="422"/>
      <c r="M56" s="422"/>
    </row>
    <row r="57" spans="1:13">
      <c r="A57" s="422"/>
      <c r="B57" s="422"/>
      <c r="C57" s="422"/>
      <c r="D57" s="422"/>
      <c r="E57" s="422"/>
      <c r="F57" s="422"/>
      <c r="G57" s="422"/>
      <c r="H57" s="422"/>
      <c r="I57" s="422"/>
      <c r="J57" s="422"/>
      <c r="K57" s="422"/>
      <c r="L57" s="422"/>
      <c r="M57" s="422"/>
    </row>
  </sheetData>
  <mergeCells count="1">
    <mergeCell ref="A2:M2"/>
  </mergeCells>
  <pageMargins left="0.47244094488188981" right="0.35433070866141736" top="0.23622047244094491" bottom="0.23622047244094491" header="0.31496062992125984" footer="0.31496062992125984"/>
  <pageSetup paperSize="9" scale="80" orientation="landscape" horizontalDpi="360" verticalDpi="36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ilha5">
    <tabColor rgb="FF002060"/>
    <pageSetUpPr fitToPage="1"/>
  </sheetPr>
  <dimension ref="A1:Q65"/>
  <sheetViews>
    <sheetView view="pageBreakPreview" zoomScale="60" zoomScaleNormal="85" zoomScalePageLayoutView="60" workbookViewId="0">
      <selection activeCell="R22" sqref="R22"/>
    </sheetView>
  </sheetViews>
  <sheetFormatPr defaultRowHeight="14.25"/>
  <cols>
    <col min="1" max="1" width="10.625" customWidth="1"/>
    <col min="2" max="2" width="11.875" customWidth="1"/>
    <col min="3" max="3" width="6.25" customWidth="1"/>
    <col min="4" max="4" width="7.5" customWidth="1"/>
    <col min="5" max="5" width="5.375" customWidth="1"/>
    <col min="7" max="7" width="28.875" customWidth="1"/>
    <col min="8" max="8" width="7.125" bestFit="1" customWidth="1"/>
    <col min="9" max="10" width="7.5" bestFit="1" customWidth="1"/>
  </cols>
  <sheetData>
    <row r="1" spans="1:17" ht="15.75" thickBot="1">
      <c r="A1" s="424"/>
      <c r="B1" s="425" t="s">
        <v>38</v>
      </c>
      <c r="C1" s="425" t="s">
        <v>3</v>
      </c>
      <c r="D1" s="425" t="s">
        <v>4</v>
      </c>
      <c r="E1" s="426" t="s">
        <v>5</v>
      </c>
      <c r="F1" s="427"/>
      <c r="G1" s="428" t="s">
        <v>39</v>
      </c>
      <c r="H1" s="427"/>
      <c r="I1" s="427"/>
      <c r="J1" s="427"/>
      <c r="K1" s="429"/>
      <c r="L1" s="429"/>
      <c r="M1" s="430"/>
      <c r="N1" s="431"/>
      <c r="O1" s="431"/>
      <c r="P1" s="431"/>
      <c r="Q1" s="264"/>
    </row>
    <row r="2" spans="1:17" ht="15.75" customHeight="1">
      <c r="A2" s="500" t="s">
        <v>40</v>
      </c>
      <c r="B2" s="432" t="s">
        <v>18</v>
      </c>
      <c r="C2" s="433">
        <f>Plano_Estatístico_2020_HJB!B40</f>
        <v>312</v>
      </c>
      <c r="D2" s="433">
        <f>Plano_Estatístico_2020_HJB!C40</f>
        <v>306</v>
      </c>
      <c r="E2" s="433">
        <f>Plano_Estatístico_2020_HJB!D40</f>
        <v>255</v>
      </c>
      <c r="F2" s="427"/>
      <c r="G2" s="434" t="s">
        <v>38</v>
      </c>
      <c r="H2" s="425" t="s">
        <v>3</v>
      </c>
      <c r="I2" s="425" t="s">
        <v>4</v>
      </c>
      <c r="J2" s="426" t="s">
        <v>5</v>
      </c>
      <c r="K2" s="429"/>
      <c r="L2" s="429"/>
      <c r="M2" s="430"/>
      <c r="N2" s="431"/>
      <c r="O2" s="431"/>
      <c r="P2" s="431"/>
      <c r="Q2" s="264"/>
    </row>
    <row r="3" spans="1:17" ht="15">
      <c r="A3" s="500"/>
      <c r="B3" s="432" t="s">
        <v>19</v>
      </c>
      <c r="C3" s="433">
        <f>Plano_Estatístico_2020_HJB!B41</f>
        <v>1017</v>
      </c>
      <c r="D3" s="433">
        <f>Plano_Estatístico_2020_HJB!C41</f>
        <v>897</v>
      </c>
      <c r="E3" s="433">
        <f>Plano_Estatístico_2020_HJB!D41</f>
        <v>944</v>
      </c>
      <c r="F3" s="427"/>
      <c r="G3" s="435" t="s">
        <v>41</v>
      </c>
      <c r="H3" s="436">
        <f>Plano_Estatístico_2020_HJB!B333</f>
        <v>0.50322580645161286</v>
      </c>
      <c r="I3" s="436">
        <f>Plano_Estatístico_2020_HJB!C333</f>
        <v>0.54642857142857137</v>
      </c>
      <c r="J3" s="436">
        <f>Plano_Estatístico_2020_HJB!D333</f>
        <v>0.41129032258064518</v>
      </c>
      <c r="K3" s="429"/>
      <c r="L3" s="437"/>
      <c r="M3" s="438"/>
      <c r="N3" s="431"/>
      <c r="O3" s="431"/>
      <c r="P3" s="431"/>
      <c r="Q3" s="264"/>
    </row>
    <row r="4" spans="1:17" ht="15.75" thickBot="1">
      <c r="A4" s="500"/>
      <c r="B4" s="432" t="s">
        <v>43</v>
      </c>
      <c r="C4" s="433">
        <f>Plano_Estatístico_2020_HJB!B42</f>
        <v>197</v>
      </c>
      <c r="D4" s="433">
        <f>Plano_Estatístico_2020_HJB!C42</f>
        <v>171</v>
      </c>
      <c r="E4" s="433">
        <f>Plano_Estatístico_2020_HJB!D42</f>
        <v>180</v>
      </c>
      <c r="F4" s="427"/>
      <c r="G4" s="439" t="s">
        <v>19</v>
      </c>
      <c r="H4" s="436">
        <f>Plano_Estatístico_2020_HJB!B334</f>
        <v>0.82016129032258067</v>
      </c>
      <c r="I4" s="436">
        <f>Plano_Estatístico_2020_HJB!C334</f>
        <v>0.80089285714285718</v>
      </c>
      <c r="J4" s="436">
        <f>Plano_Estatístico_2020_HJB!D334</f>
        <v>0.76129032258064511</v>
      </c>
      <c r="K4" s="429"/>
      <c r="L4" s="437"/>
      <c r="M4" s="438"/>
      <c r="N4" s="431"/>
      <c r="O4" s="431"/>
      <c r="P4" s="431"/>
      <c r="Q4" s="264"/>
    </row>
    <row r="5" spans="1:17" ht="15">
      <c r="A5" s="440" t="s">
        <v>21</v>
      </c>
      <c r="B5" s="441" t="s">
        <v>44</v>
      </c>
      <c r="C5" s="425" t="s">
        <v>3</v>
      </c>
      <c r="D5" s="425" t="s">
        <v>4</v>
      </c>
      <c r="E5" s="426" t="s">
        <v>5</v>
      </c>
      <c r="F5" s="427"/>
      <c r="G5" s="439" t="s">
        <v>43</v>
      </c>
      <c r="H5" s="436">
        <f>Plano_Estatístico_2020_HJB!B335</f>
        <v>0.63548387096774195</v>
      </c>
      <c r="I5" s="436">
        <f>Plano_Estatístico_2020_HJB!C335</f>
        <v>0.61071428571428577</v>
      </c>
      <c r="J5" s="436">
        <f>Plano_Estatístico_2020_HJB!D335</f>
        <v>0.58064516129032262</v>
      </c>
      <c r="K5" s="429"/>
      <c r="L5" s="437"/>
      <c r="M5" s="438"/>
      <c r="N5" s="431"/>
      <c r="O5" s="431"/>
      <c r="P5" s="431"/>
      <c r="Q5" s="264"/>
    </row>
    <row r="6" spans="1:17" ht="15" customHeight="1" thickBot="1">
      <c r="A6" s="500" t="s">
        <v>46</v>
      </c>
      <c r="B6" s="432" t="s">
        <v>41</v>
      </c>
      <c r="C6" s="442">
        <f>Plano_Estatístico_2020_HJB!B15</f>
        <v>620</v>
      </c>
      <c r="D6" s="442">
        <f>Plano_Estatístico_2020_HJB!C15</f>
        <v>560</v>
      </c>
      <c r="E6" s="442">
        <f>Plano_Estatístico_2020_HJB!D15</f>
        <v>620</v>
      </c>
      <c r="F6" s="427"/>
      <c r="G6" s="443" t="s">
        <v>47</v>
      </c>
      <c r="H6" s="436">
        <f>Plano_Estatístico_2020_HJB!B336</f>
        <v>0.70322580645161292</v>
      </c>
      <c r="I6" s="436">
        <f>Plano_Estatístico_2020_HJB!C336</f>
        <v>0.70102040816326527</v>
      </c>
      <c r="J6" s="436">
        <f>Plano_Estatístico_2020_HJB!D336</f>
        <v>0.63548387096774195</v>
      </c>
      <c r="K6" s="429"/>
      <c r="L6" s="429"/>
      <c r="M6" s="438"/>
      <c r="N6" s="431"/>
      <c r="O6" s="431"/>
      <c r="P6" s="431"/>
      <c r="Q6" s="264"/>
    </row>
    <row r="7" spans="1:17" ht="15">
      <c r="A7" s="500"/>
      <c r="B7" s="432" t="s">
        <v>19</v>
      </c>
      <c r="C7" s="442">
        <f>Plano_Estatístico_2020_HJB!B16</f>
        <v>1240</v>
      </c>
      <c r="D7" s="442">
        <f>Plano_Estatístico_2020_HJB!C16</f>
        <v>1120</v>
      </c>
      <c r="E7" s="442">
        <f>Plano_Estatístico_2020_HJB!D16</f>
        <v>1240</v>
      </c>
      <c r="F7" s="427"/>
      <c r="G7" s="427"/>
      <c r="H7" s="444"/>
      <c r="I7" s="444"/>
      <c r="J7" s="444"/>
      <c r="K7" s="429"/>
      <c r="L7" s="429"/>
      <c r="M7" s="430"/>
      <c r="N7" s="431"/>
      <c r="O7" s="431"/>
      <c r="P7" s="431"/>
      <c r="Q7" s="264"/>
    </row>
    <row r="8" spans="1:17" ht="15">
      <c r="A8" s="500"/>
      <c r="B8" s="432" t="s">
        <v>43</v>
      </c>
      <c r="C8" s="442">
        <f>Plano_Estatístico_2020_HJB!B17</f>
        <v>310</v>
      </c>
      <c r="D8" s="442">
        <f>Plano_Estatístico_2020_HJB!C17</f>
        <v>280</v>
      </c>
      <c r="E8" s="442">
        <f>Plano_Estatístico_2020_HJB!D17</f>
        <v>310</v>
      </c>
      <c r="F8" s="427"/>
      <c r="G8" s="427"/>
      <c r="H8" s="427"/>
      <c r="I8" s="427"/>
      <c r="J8" s="427"/>
      <c r="K8" s="429"/>
      <c r="L8" s="429"/>
      <c r="M8" s="430"/>
      <c r="N8" s="431"/>
      <c r="O8" s="431"/>
      <c r="P8" s="431"/>
      <c r="Q8" s="264"/>
    </row>
    <row r="9" spans="1:17" ht="15.75" thickBot="1">
      <c r="A9" s="445" t="s">
        <v>21</v>
      </c>
      <c r="B9" s="446" t="s">
        <v>44</v>
      </c>
      <c r="C9" s="447">
        <f>SUM(C6:C8)</f>
        <v>2170</v>
      </c>
      <c r="D9" s="447">
        <f>SUM(D6:D8)</f>
        <v>1960</v>
      </c>
      <c r="E9" s="448">
        <f>SUM(E6:E8)</f>
        <v>2170</v>
      </c>
      <c r="F9" s="427"/>
      <c r="G9" s="427"/>
      <c r="H9" s="427"/>
      <c r="I9" s="427"/>
      <c r="J9" s="427"/>
      <c r="K9" s="429"/>
      <c r="L9" s="429"/>
      <c r="M9" s="430"/>
      <c r="N9" s="431"/>
      <c r="O9" s="431"/>
      <c r="P9" s="431"/>
      <c r="Q9" s="264"/>
    </row>
    <row r="10" spans="1:17" s="261" customFormat="1" ht="15">
      <c r="A10" s="449"/>
      <c r="B10" s="449"/>
      <c r="C10" s="449"/>
      <c r="D10" s="449"/>
      <c r="E10" s="449"/>
      <c r="F10" s="449"/>
      <c r="G10" s="449"/>
      <c r="H10" s="449"/>
      <c r="I10" s="449"/>
      <c r="J10" s="449"/>
      <c r="K10" s="449"/>
      <c r="L10" s="449"/>
      <c r="M10" s="450"/>
      <c r="N10" s="451"/>
      <c r="O10" s="451"/>
      <c r="P10" s="451"/>
      <c r="Q10" s="265"/>
    </row>
    <row r="11" spans="1:17" ht="15">
      <c r="A11" s="429"/>
      <c r="B11" s="429"/>
      <c r="C11" s="429"/>
      <c r="D11" s="429"/>
      <c r="E11" s="429"/>
      <c r="F11" s="429"/>
      <c r="G11" s="429"/>
      <c r="H11" s="429"/>
      <c r="I11" s="429"/>
      <c r="J11" s="429"/>
      <c r="K11" s="429"/>
      <c r="L11" s="429"/>
      <c r="M11" s="430"/>
      <c r="N11" s="431"/>
      <c r="O11" s="431"/>
      <c r="P11" s="431"/>
      <c r="Q11" s="264"/>
    </row>
    <row r="12" spans="1:17" ht="15">
      <c r="A12" s="429"/>
      <c r="B12" s="429"/>
      <c r="C12" s="429"/>
      <c r="D12" s="429"/>
      <c r="E12" s="429"/>
      <c r="F12" s="429"/>
      <c r="G12" s="429"/>
      <c r="H12" s="429"/>
      <c r="I12" s="429"/>
      <c r="J12" s="429"/>
      <c r="K12" s="429"/>
      <c r="L12" s="429"/>
      <c r="M12" s="430"/>
      <c r="N12" s="431"/>
      <c r="O12" s="431"/>
      <c r="P12" s="431"/>
      <c r="Q12" s="264"/>
    </row>
    <row r="13" spans="1:17" ht="15">
      <c r="A13" s="429"/>
      <c r="B13" s="429"/>
      <c r="C13" s="429"/>
      <c r="D13" s="429"/>
      <c r="E13" s="429"/>
      <c r="F13" s="429"/>
      <c r="G13" s="429"/>
      <c r="H13" s="429"/>
      <c r="I13" s="429"/>
      <c r="J13" s="429"/>
      <c r="K13" s="429"/>
      <c r="L13" s="429"/>
      <c r="M13" s="430"/>
      <c r="N13" s="431"/>
      <c r="O13" s="431"/>
      <c r="P13" s="431"/>
      <c r="Q13" s="264"/>
    </row>
    <row r="14" spans="1:17">
      <c r="A14" s="430"/>
      <c r="B14" s="430"/>
      <c r="C14" s="430"/>
      <c r="D14" s="430"/>
      <c r="E14" s="430"/>
      <c r="F14" s="430"/>
      <c r="G14" s="430"/>
      <c r="H14" s="430"/>
      <c r="I14" s="430"/>
      <c r="J14" s="430"/>
      <c r="K14" s="430"/>
      <c r="L14" s="430"/>
      <c r="M14" s="430"/>
      <c r="N14" s="431"/>
      <c r="O14" s="431"/>
      <c r="P14" s="431"/>
      <c r="Q14" s="264"/>
    </row>
    <row r="15" spans="1:17">
      <c r="A15" s="430"/>
      <c r="B15" s="430"/>
      <c r="C15" s="430"/>
      <c r="D15" s="430"/>
      <c r="E15" s="430"/>
      <c r="F15" s="430"/>
      <c r="G15" s="430"/>
      <c r="H15" s="430"/>
      <c r="I15" s="430"/>
      <c r="J15" s="430"/>
      <c r="K15" s="430"/>
      <c r="L15" s="430"/>
      <c r="M15" s="430"/>
      <c r="N15" s="431"/>
      <c r="O15" s="431"/>
      <c r="P15" s="431"/>
      <c r="Q15" s="264"/>
    </row>
    <row r="16" spans="1:17">
      <c r="A16" s="430"/>
      <c r="B16" s="430"/>
      <c r="C16" s="430"/>
      <c r="D16" s="430"/>
      <c r="E16" s="430"/>
      <c r="F16" s="430"/>
      <c r="G16" s="430"/>
      <c r="H16" s="430"/>
      <c r="I16" s="430"/>
      <c r="J16" s="430"/>
      <c r="K16" s="430"/>
      <c r="L16" s="430"/>
      <c r="M16" s="430"/>
      <c r="N16" s="431"/>
      <c r="O16" s="431"/>
      <c r="P16" s="431"/>
      <c r="Q16" s="264"/>
    </row>
    <row r="17" spans="1:17">
      <c r="A17" s="430"/>
      <c r="B17" s="430"/>
      <c r="C17" s="430"/>
      <c r="D17" s="430"/>
      <c r="E17" s="430"/>
      <c r="F17" s="430"/>
      <c r="G17" s="430"/>
      <c r="H17" s="430"/>
      <c r="I17" s="430"/>
      <c r="J17" s="430"/>
      <c r="K17" s="430"/>
      <c r="L17" s="430"/>
      <c r="M17" s="430"/>
      <c r="N17" s="431"/>
      <c r="O17" s="431"/>
      <c r="P17" s="431"/>
      <c r="Q17" s="264"/>
    </row>
    <row r="18" spans="1:17">
      <c r="A18" s="430"/>
      <c r="B18" s="430"/>
      <c r="C18" s="430"/>
      <c r="D18" s="430"/>
      <c r="E18" s="430"/>
      <c r="F18" s="430"/>
      <c r="G18" s="430"/>
      <c r="H18" s="430"/>
      <c r="I18" s="430"/>
      <c r="J18" s="430"/>
      <c r="K18" s="430"/>
      <c r="L18" s="430"/>
      <c r="M18" s="430"/>
      <c r="N18" s="431"/>
      <c r="O18" s="431"/>
      <c r="P18" s="431"/>
      <c r="Q18" s="264"/>
    </row>
    <row r="19" spans="1:17">
      <c r="A19" s="430"/>
      <c r="B19" s="430"/>
      <c r="C19" s="430"/>
      <c r="D19" s="430"/>
      <c r="E19" s="430"/>
      <c r="F19" s="430"/>
      <c r="G19" s="430"/>
      <c r="H19" s="430"/>
      <c r="I19" s="430"/>
      <c r="J19" s="430"/>
      <c r="K19" s="430"/>
      <c r="L19" s="430"/>
      <c r="M19" s="430"/>
      <c r="N19" s="431"/>
      <c r="O19" s="431"/>
      <c r="P19" s="431"/>
      <c r="Q19" s="264"/>
    </row>
    <row r="20" spans="1:17">
      <c r="A20" s="430"/>
      <c r="B20" s="430"/>
      <c r="C20" s="430"/>
      <c r="D20" s="430"/>
      <c r="E20" s="430"/>
      <c r="F20" s="430"/>
      <c r="G20" s="430"/>
      <c r="H20" s="430"/>
      <c r="I20" s="430"/>
      <c r="J20" s="430"/>
      <c r="K20" s="430"/>
      <c r="L20" s="430"/>
      <c r="M20" s="430"/>
      <c r="N20" s="431"/>
      <c r="O20" s="431"/>
      <c r="P20" s="431"/>
      <c r="Q20" s="264"/>
    </row>
    <row r="21" spans="1:17">
      <c r="A21" s="430"/>
      <c r="B21" s="430"/>
      <c r="C21" s="430"/>
      <c r="D21" s="430"/>
      <c r="E21" s="430"/>
      <c r="F21" s="430"/>
      <c r="G21" s="430"/>
      <c r="H21" s="430"/>
      <c r="I21" s="430"/>
      <c r="J21" s="430"/>
      <c r="K21" s="430"/>
      <c r="L21" s="430"/>
      <c r="M21" s="430"/>
      <c r="N21" s="431"/>
      <c r="O21" s="431"/>
      <c r="P21" s="431"/>
      <c r="Q21" s="264"/>
    </row>
    <row r="22" spans="1:17">
      <c r="A22" s="430"/>
      <c r="B22" s="430"/>
      <c r="C22" s="430"/>
      <c r="D22" s="430"/>
      <c r="E22" s="430"/>
      <c r="F22" s="430"/>
      <c r="G22" s="430"/>
      <c r="H22" s="430"/>
      <c r="I22" s="430"/>
      <c r="J22" s="430"/>
      <c r="K22" s="430"/>
      <c r="L22" s="430"/>
      <c r="M22" s="430"/>
      <c r="N22" s="431"/>
      <c r="O22" s="431"/>
      <c r="P22" s="431"/>
      <c r="Q22" s="264"/>
    </row>
    <row r="23" spans="1:17">
      <c r="A23" s="430"/>
      <c r="B23" s="430"/>
      <c r="C23" s="430"/>
      <c r="D23" s="430"/>
      <c r="E23" s="430"/>
      <c r="F23" s="430"/>
      <c r="G23" s="430"/>
      <c r="H23" s="430"/>
      <c r="I23" s="430"/>
      <c r="J23" s="430"/>
      <c r="K23" s="430"/>
      <c r="L23" s="430"/>
      <c r="M23" s="430"/>
      <c r="N23" s="431"/>
      <c r="O23" s="431"/>
      <c r="P23" s="431"/>
      <c r="Q23" s="264"/>
    </row>
    <row r="24" spans="1:17">
      <c r="A24" s="430"/>
      <c r="B24" s="430"/>
      <c r="C24" s="430"/>
      <c r="D24" s="430"/>
      <c r="E24" s="430"/>
      <c r="F24" s="430"/>
      <c r="G24" s="430"/>
      <c r="H24" s="430"/>
      <c r="I24" s="430"/>
      <c r="J24" s="430"/>
      <c r="K24" s="430"/>
      <c r="L24" s="430"/>
      <c r="M24" s="430"/>
      <c r="N24" s="431"/>
      <c r="O24" s="431"/>
      <c r="P24" s="431"/>
      <c r="Q24" s="264"/>
    </row>
    <row r="25" spans="1:17">
      <c r="A25" s="430"/>
      <c r="B25" s="430"/>
      <c r="C25" s="430"/>
      <c r="D25" s="430"/>
      <c r="E25" s="430"/>
      <c r="F25" s="430"/>
      <c r="G25" s="430"/>
      <c r="H25" s="430"/>
      <c r="I25" s="430"/>
      <c r="J25" s="430"/>
      <c r="K25" s="430"/>
      <c r="L25" s="430"/>
      <c r="M25" s="430"/>
      <c r="N25" s="431"/>
      <c r="O25" s="431"/>
      <c r="P25" s="431"/>
      <c r="Q25" s="264"/>
    </row>
    <row r="26" spans="1:17">
      <c r="A26" s="430"/>
      <c r="B26" s="430"/>
      <c r="C26" s="430"/>
      <c r="D26" s="430"/>
      <c r="E26" s="430"/>
      <c r="F26" s="430"/>
      <c r="G26" s="430"/>
      <c r="H26" s="430"/>
      <c r="I26" s="430"/>
      <c r="J26" s="430"/>
      <c r="K26" s="430"/>
      <c r="L26" s="430"/>
      <c r="M26" s="430"/>
      <c r="N26" s="431"/>
      <c r="O26" s="431"/>
      <c r="P26" s="431"/>
      <c r="Q26" s="264"/>
    </row>
    <row r="27" spans="1:17">
      <c r="A27" s="430"/>
      <c r="B27" s="430"/>
      <c r="C27" s="430"/>
      <c r="D27" s="430"/>
      <c r="E27" s="430"/>
      <c r="F27" s="430"/>
      <c r="G27" s="430"/>
      <c r="H27" s="430"/>
      <c r="I27" s="430"/>
      <c r="J27" s="430"/>
      <c r="K27" s="430"/>
      <c r="L27" s="430"/>
      <c r="M27" s="430"/>
      <c r="N27" s="431"/>
      <c r="O27" s="431"/>
      <c r="P27" s="431"/>
      <c r="Q27" s="264"/>
    </row>
    <row r="28" spans="1:17">
      <c r="A28" s="430"/>
      <c r="B28" s="430"/>
      <c r="C28" s="430"/>
      <c r="D28" s="430"/>
      <c r="E28" s="430"/>
      <c r="F28" s="430"/>
      <c r="G28" s="430"/>
      <c r="H28" s="430"/>
      <c r="I28" s="430"/>
      <c r="J28" s="430"/>
      <c r="K28" s="430"/>
      <c r="L28" s="430"/>
      <c r="M28" s="430"/>
      <c r="N28" s="431"/>
      <c r="O28" s="431"/>
      <c r="P28" s="431"/>
      <c r="Q28" s="264"/>
    </row>
    <row r="29" spans="1:17">
      <c r="A29" s="430"/>
      <c r="B29" s="430"/>
      <c r="C29" s="430"/>
      <c r="D29" s="430"/>
      <c r="E29" s="430"/>
      <c r="F29" s="430"/>
      <c r="G29" s="430"/>
      <c r="H29" s="430"/>
      <c r="I29" s="430"/>
      <c r="J29" s="430"/>
      <c r="K29" s="430"/>
      <c r="L29" s="430"/>
      <c r="M29" s="430"/>
      <c r="N29" s="431"/>
      <c r="O29" s="431"/>
      <c r="P29" s="431"/>
      <c r="Q29" s="264"/>
    </row>
    <row r="30" spans="1:17">
      <c r="A30" s="430"/>
      <c r="B30" s="430"/>
      <c r="C30" s="430"/>
      <c r="D30" s="430"/>
      <c r="E30" s="430"/>
      <c r="F30" s="430"/>
      <c r="G30" s="430"/>
      <c r="H30" s="430"/>
      <c r="I30" s="430"/>
      <c r="J30" s="430"/>
      <c r="K30" s="430"/>
      <c r="L30" s="430"/>
      <c r="M30" s="430"/>
      <c r="N30" s="431"/>
      <c r="O30" s="431"/>
      <c r="P30" s="431"/>
      <c r="Q30" s="264"/>
    </row>
    <row r="31" spans="1:17">
      <c r="A31" s="430"/>
      <c r="B31" s="430"/>
      <c r="C31" s="430"/>
      <c r="D31" s="430"/>
      <c r="E31" s="430"/>
      <c r="F31" s="430"/>
      <c r="G31" s="430"/>
      <c r="H31" s="430"/>
      <c r="I31" s="430"/>
      <c r="J31" s="430"/>
      <c r="K31" s="430"/>
      <c r="L31" s="430"/>
      <c r="M31" s="430"/>
      <c r="N31" s="431"/>
      <c r="O31" s="431"/>
      <c r="P31" s="431"/>
      <c r="Q31" s="264"/>
    </row>
    <row r="32" spans="1:17">
      <c r="A32" s="430"/>
      <c r="B32" s="430"/>
      <c r="C32" s="430"/>
      <c r="D32" s="430"/>
      <c r="E32" s="430"/>
      <c r="F32" s="430"/>
      <c r="G32" s="430"/>
      <c r="H32" s="430"/>
      <c r="I32" s="430"/>
      <c r="J32" s="430"/>
      <c r="K32" s="430"/>
      <c r="L32" s="430"/>
      <c r="M32" s="430"/>
      <c r="N32" s="431"/>
      <c r="O32" s="431"/>
      <c r="P32" s="431"/>
      <c r="Q32" s="264"/>
    </row>
    <row r="33" spans="1:17">
      <c r="A33" s="430"/>
      <c r="B33" s="430"/>
      <c r="C33" s="430"/>
      <c r="D33" s="430"/>
      <c r="E33" s="430"/>
      <c r="F33" s="430"/>
      <c r="G33" s="430"/>
      <c r="H33" s="430"/>
      <c r="I33" s="430"/>
      <c r="J33" s="430"/>
      <c r="K33" s="430"/>
      <c r="L33" s="430"/>
      <c r="M33" s="430"/>
      <c r="N33" s="431"/>
      <c r="O33" s="431"/>
      <c r="P33" s="431"/>
      <c r="Q33" s="264"/>
    </row>
    <row r="34" spans="1:17">
      <c r="A34" s="430"/>
      <c r="B34" s="430"/>
      <c r="C34" s="430"/>
      <c r="D34" s="430"/>
      <c r="E34" s="430"/>
      <c r="F34" s="430"/>
      <c r="G34" s="430"/>
      <c r="H34" s="430"/>
      <c r="I34" s="430"/>
      <c r="J34" s="430"/>
      <c r="K34" s="430"/>
      <c r="L34" s="430"/>
      <c r="M34" s="430"/>
      <c r="N34" s="431"/>
      <c r="O34" s="431"/>
      <c r="P34" s="431"/>
      <c r="Q34" s="264"/>
    </row>
    <row r="35" spans="1:17">
      <c r="A35" s="430"/>
      <c r="B35" s="430"/>
      <c r="C35" s="430"/>
      <c r="D35" s="430"/>
      <c r="E35" s="430"/>
      <c r="F35" s="430"/>
      <c r="G35" s="430"/>
      <c r="H35" s="430"/>
      <c r="I35" s="430"/>
      <c r="J35" s="430"/>
      <c r="K35" s="430"/>
      <c r="L35" s="430"/>
      <c r="M35" s="430"/>
      <c r="N35" s="431"/>
      <c r="O35" s="431"/>
      <c r="P35" s="431"/>
      <c r="Q35" s="264"/>
    </row>
    <row r="36" spans="1:17">
      <c r="A36" s="430"/>
      <c r="B36" s="430"/>
      <c r="C36" s="430"/>
      <c r="D36" s="430"/>
      <c r="E36" s="430"/>
      <c r="F36" s="430"/>
      <c r="G36" s="430"/>
      <c r="H36" s="430"/>
      <c r="I36" s="430"/>
      <c r="J36" s="430"/>
      <c r="K36" s="430"/>
      <c r="L36" s="430"/>
      <c r="M36" s="430"/>
      <c r="N36" s="431"/>
      <c r="O36" s="431"/>
      <c r="P36" s="431"/>
      <c r="Q36" s="264"/>
    </row>
    <row r="37" spans="1:17">
      <c r="A37" s="430"/>
      <c r="B37" s="430"/>
      <c r="C37" s="430"/>
      <c r="D37" s="430"/>
      <c r="E37" s="430"/>
      <c r="F37" s="430"/>
      <c r="G37" s="430"/>
      <c r="H37" s="430"/>
      <c r="I37" s="430"/>
      <c r="J37" s="430"/>
      <c r="K37" s="430"/>
      <c r="L37" s="430"/>
      <c r="M37" s="430"/>
      <c r="N37" s="431"/>
      <c r="O37" s="431"/>
      <c r="P37" s="431"/>
      <c r="Q37" s="264"/>
    </row>
    <row r="38" spans="1:17">
      <c r="A38" s="430"/>
      <c r="B38" s="430"/>
      <c r="C38" s="430"/>
      <c r="D38" s="430"/>
      <c r="E38" s="430"/>
      <c r="F38" s="430"/>
      <c r="G38" s="430"/>
      <c r="H38" s="430"/>
      <c r="I38" s="430"/>
      <c r="J38" s="430"/>
      <c r="K38" s="430"/>
      <c r="L38" s="430"/>
      <c r="M38" s="430"/>
      <c r="N38" s="431"/>
      <c r="O38" s="431"/>
      <c r="P38" s="431"/>
      <c r="Q38" s="264"/>
    </row>
    <row r="39" spans="1:17">
      <c r="A39" s="430"/>
      <c r="B39" s="430"/>
      <c r="C39" s="430"/>
      <c r="D39" s="430"/>
      <c r="E39" s="430"/>
      <c r="F39" s="430"/>
      <c r="G39" s="430"/>
      <c r="H39" s="430"/>
      <c r="I39" s="430"/>
      <c r="J39" s="430"/>
      <c r="K39" s="430"/>
      <c r="L39" s="430"/>
      <c r="M39" s="430"/>
      <c r="N39" s="431"/>
      <c r="O39" s="431"/>
      <c r="P39" s="431"/>
      <c r="Q39" s="264"/>
    </row>
    <row r="40" spans="1:17">
      <c r="A40" s="430"/>
      <c r="B40" s="430"/>
      <c r="C40" s="430"/>
      <c r="D40" s="430"/>
      <c r="E40" s="430"/>
      <c r="F40" s="430"/>
      <c r="G40" s="430"/>
      <c r="H40" s="430"/>
      <c r="I40" s="430"/>
      <c r="J40" s="430"/>
      <c r="K40" s="430"/>
      <c r="L40" s="430"/>
      <c r="M40" s="430"/>
      <c r="N40" s="431"/>
      <c r="O40" s="431"/>
      <c r="P40" s="431"/>
      <c r="Q40" s="264"/>
    </row>
    <row r="41" spans="1:17">
      <c r="A41" s="430"/>
      <c r="B41" s="430"/>
      <c r="C41" s="430"/>
      <c r="D41" s="430"/>
      <c r="E41" s="430"/>
      <c r="F41" s="430"/>
      <c r="G41" s="430"/>
      <c r="H41" s="430"/>
      <c r="I41" s="430"/>
      <c r="J41" s="430"/>
      <c r="K41" s="430"/>
      <c r="L41" s="430"/>
      <c r="M41" s="430"/>
      <c r="N41" s="431"/>
      <c r="O41" s="431"/>
      <c r="P41" s="431"/>
      <c r="Q41" s="264"/>
    </row>
    <row r="42" spans="1:17">
      <c r="A42" s="430"/>
      <c r="B42" s="430"/>
      <c r="C42" s="430"/>
      <c r="D42" s="430"/>
      <c r="E42" s="430"/>
      <c r="F42" s="430"/>
      <c r="G42" s="430"/>
      <c r="H42" s="430"/>
      <c r="I42" s="430"/>
      <c r="J42" s="430"/>
      <c r="K42" s="430"/>
      <c r="L42" s="430"/>
      <c r="M42" s="430"/>
      <c r="N42" s="431"/>
      <c r="O42" s="431"/>
      <c r="P42" s="431"/>
      <c r="Q42" s="264"/>
    </row>
    <row r="43" spans="1:17">
      <c r="A43" s="430"/>
      <c r="B43" s="430"/>
      <c r="C43" s="430"/>
      <c r="D43" s="430"/>
      <c r="E43" s="430"/>
      <c r="F43" s="430"/>
      <c r="G43" s="430"/>
      <c r="H43" s="430"/>
      <c r="I43" s="430"/>
      <c r="J43" s="430"/>
      <c r="K43" s="430"/>
      <c r="L43" s="430"/>
      <c r="M43" s="430"/>
      <c r="N43" s="431"/>
      <c r="O43" s="431"/>
      <c r="P43" s="431"/>
      <c r="Q43" s="264"/>
    </row>
    <row r="44" spans="1:17">
      <c r="A44" s="430"/>
      <c r="B44" s="430"/>
      <c r="C44" s="430"/>
      <c r="D44" s="430"/>
      <c r="E44" s="430"/>
      <c r="F44" s="430"/>
      <c r="G44" s="430"/>
      <c r="H44" s="430"/>
      <c r="I44" s="430"/>
      <c r="J44" s="430"/>
      <c r="K44" s="430"/>
      <c r="L44" s="430"/>
      <c r="M44" s="430"/>
      <c r="N44" s="431"/>
      <c r="O44" s="431"/>
      <c r="P44" s="431"/>
      <c r="Q44" s="264"/>
    </row>
    <row r="45" spans="1:17">
      <c r="A45" s="430"/>
      <c r="B45" s="430"/>
      <c r="C45" s="430"/>
      <c r="D45" s="430"/>
      <c r="E45" s="430"/>
      <c r="F45" s="430"/>
      <c r="G45" s="430"/>
      <c r="H45" s="430"/>
      <c r="I45" s="430"/>
      <c r="J45" s="430"/>
      <c r="K45" s="430"/>
      <c r="L45" s="430"/>
      <c r="M45" s="430"/>
      <c r="N45" s="431"/>
      <c r="O45" s="431"/>
      <c r="P45" s="431"/>
      <c r="Q45" s="264"/>
    </row>
    <row r="46" spans="1:17">
      <c r="A46" s="430"/>
      <c r="B46" s="430"/>
      <c r="C46" s="430"/>
      <c r="D46" s="430"/>
      <c r="E46" s="430"/>
      <c r="F46" s="430"/>
      <c r="G46" s="430"/>
      <c r="H46" s="430"/>
      <c r="I46" s="430"/>
      <c r="J46" s="430"/>
      <c r="K46" s="430"/>
      <c r="L46" s="430"/>
      <c r="M46" s="430"/>
      <c r="N46" s="431"/>
      <c r="O46" s="431"/>
      <c r="P46" s="431"/>
      <c r="Q46" s="264"/>
    </row>
    <row r="47" spans="1:17">
      <c r="A47" s="452"/>
      <c r="B47" s="452"/>
      <c r="C47" s="452"/>
      <c r="D47" s="452"/>
      <c r="E47" s="452"/>
      <c r="F47" s="452"/>
      <c r="G47" s="452"/>
      <c r="H47" s="452"/>
      <c r="I47" s="452"/>
      <c r="J47" s="452"/>
      <c r="K47" s="452"/>
      <c r="L47" s="452"/>
      <c r="M47" s="452"/>
      <c r="N47" s="422"/>
      <c r="O47" s="422"/>
      <c r="P47" s="422"/>
    </row>
    <row r="48" spans="1:17">
      <c r="A48" s="452"/>
      <c r="B48" s="452"/>
      <c r="C48" s="452"/>
      <c r="D48" s="452"/>
      <c r="E48" s="452"/>
      <c r="F48" s="452"/>
      <c r="G48" s="452"/>
      <c r="H48" s="452"/>
      <c r="I48" s="452"/>
      <c r="J48" s="452"/>
      <c r="K48" s="452"/>
      <c r="L48" s="452"/>
      <c r="M48" s="452"/>
      <c r="N48" s="422"/>
      <c r="O48" s="422"/>
      <c r="P48" s="422"/>
    </row>
    <row r="49" spans="1:16">
      <c r="A49" s="452"/>
      <c r="B49" s="452"/>
      <c r="C49" s="452"/>
      <c r="D49" s="452"/>
      <c r="E49" s="452"/>
      <c r="F49" s="452"/>
      <c r="G49" s="452"/>
      <c r="H49" s="452"/>
      <c r="I49" s="452"/>
      <c r="J49" s="452"/>
      <c r="K49" s="452"/>
      <c r="L49" s="452"/>
      <c r="M49" s="452"/>
      <c r="N49" s="422"/>
      <c r="O49" s="422"/>
      <c r="P49" s="422"/>
    </row>
    <row r="50" spans="1:16">
      <c r="A50" s="452"/>
      <c r="B50" s="452"/>
      <c r="C50" s="452"/>
      <c r="D50" s="452"/>
      <c r="E50" s="452"/>
      <c r="F50" s="452"/>
      <c r="G50" s="452"/>
      <c r="H50" s="452"/>
      <c r="I50" s="452"/>
      <c r="J50" s="452"/>
      <c r="K50" s="452"/>
      <c r="L50" s="452"/>
      <c r="M50" s="452"/>
      <c r="N50" s="422"/>
      <c r="O50" s="422"/>
      <c r="P50" s="422"/>
    </row>
    <row r="51" spans="1:16">
      <c r="A51" s="452"/>
      <c r="B51" s="452"/>
      <c r="C51" s="452"/>
      <c r="D51" s="452"/>
      <c r="E51" s="452"/>
      <c r="F51" s="452"/>
      <c r="G51" s="452"/>
      <c r="H51" s="452"/>
      <c r="I51" s="452"/>
      <c r="J51" s="452"/>
      <c r="K51" s="452"/>
      <c r="L51" s="452"/>
      <c r="M51" s="452"/>
      <c r="N51" s="422"/>
      <c r="O51" s="422"/>
      <c r="P51" s="422"/>
    </row>
    <row r="52" spans="1:16">
      <c r="A52" s="452"/>
      <c r="B52" s="452"/>
      <c r="C52" s="452"/>
      <c r="D52" s="452"/>
      <c r="E52" s="452"/>
      <c r="F52" s="452"/>
      <c r="G52" s="452"/>
      <c r="H52" s="452"/>
      <c r="I52" s="452"/>
      <c r="J52" s="452"/>
      <c r="K52" s="452"/>
      <c r="L52" s="452"/>
      <c r="M52" s="452"/>
      <c r="N52" s="422"/>
      <c r="O52" s="422"/>
      <c r="P52" s="422"/>
    </row>
    <row r="53" spans="1:16">
      <c r="A53" s="452"/>
      <c r="B53" s="452"/>
      <c r="C53" s="452"/>
      <c r="D53" s="452"/>
      <c r="E53" s="452"/>
      <c r="F53" s="452"/>
      <c r="G53" s="452"/>
      <c r="H53" s="452"/>
      <c r="I53" s="452"/>
      <c r="J53" s="452"/>
      <c r="K53" s="452"/>
      <c r="L53" s="452"/>
      <c r="M53" s="452"/>
      <c r="N53" s="422"/>
      <c r="O53" s="422"/>
      <c r="P53" s="422"/>
    </row>
    <row r="54" spans="1:16">
      <c r="A54" s="452"/>
      <c r="B54" s="452"/>
      <c r="C54" s="452"/>
      <c r="D54" s="452"/>
      <c r="E54" s="452"/>
      <c r="F54" s="452"/>
      <c r="G54" s="452"/>
      <c r="H54" s="452"/>
      <c r="I54" s="452"/>
      <c r="J54" s="452"/>
      <c r="K54" s="452"/>
      <c r="L54" s="452"/>
      <c r="M54" s="452"/>
      <c r="N54" s="422"/>
      <c r="O54" s="422"/>
      <c r="P54" s="422"/>
    </row>
    <row r="55" spans="1:16">
      <c r="A55" s="452"/>
      <c r="B55" s="452"/>
      <c r="C55" s="452"/>
      <c r="D55" s="452"/>
      <c r="E55" s="452"/>
      <c r="F55" s="452"/>
      <c r="G55" s="452"/>
      <c r="H55" s="452"/>
      <c r="I55" s="452"/>
      <c r="J55" s="452"/>
      <c r="K55" s="452"/>
      <c r="L55" s="452"/>
      <c r="M55" s="452"/>
      <c r="N55" s="422"/>
      <c r="O55" s="422"/>
      <c r="P55" s="422"/>
    </row>
    <row r="56" spans="1:16">
      <c r="A56" s="452"/>
      <c r="B56" s="452"/>
      <c r="C56" s="452"/>
      <c r="D56" s="452"/>
      <c r="E56" s="452"/>
      <c r="F56" s="452"/>
      <c r="G56" s="452"/>
      <c r="H56" s="452"/>
      <c r="I56" s="452"/>
      <c r="J56" s="452"/>
      <c r="K56" s="452"/>
      <c r="L56" s="452"/>
      <c r="M56" s="452"/>
      <c r="N56" s="422"/>
      <c r="O56" s="422"/>
      <c r="P56" s="422"/>
    </row>
    <row r="57" spans="1:16">
      <c r="A57" s="452"/>
      <c r="B57" s="452"/>
      <c r="C57" s="452"/>
      <c r="D57" s="452"/>
      <c r="E57" s="452"/>
      <c r="F57" s="452"/>
      <c r="G57" s="452"/>
      <c r="H57" s="452"/>
      <c r="I57" s="452"/>
      <c r="J57" s="452"/>
      <c r="K57" s="452"/>
      <c r="L57" s="452"/>
      <c r="M57" s="452"/>
      <c r="N57" s="422"/>
      <c r="O57" s="422"/>
      <c r="P57" s="422"/>
    </row>
    <row r="58" spans="1:16">
      <c r="A58" s="452"/>
      <c r="B58" s="452"/>
      <c r="C58" s="452"/>
      <c r="D58" s="452"/>
      <c r="E58" s="452"/>
      <c r="F58" s="452"/>
      <c r="G58" s="452"/>
      <c r="H58" s="452"/>
      <c r="I58" s="452"/>
      <c r="J58" s="452"/>
      <c r="K58" s="452"/>
      <c r="L58" s="452"/>
      <c r="M58" s="452"/>
      <c r="N58" s="422"/>
      <c r="O58" s="422"/>
      <c r="P58" s="422"/>
    </row>
    <row r="59" spans="1:16">
      <c r="A59" s="452"/>
      <c r="B59" s="452"/>
      <c r="C59" s="452"/>
      <c r="D59" s="452"/>
      <c r="E59" s="452"/>
      <c r="F59" s="452"/>
      <c r="G59" s="452"/>
      <c r="H59" s="452"/>
      <c r="I59" s="452"/>
      <c r="J59" s="452"/>
      <c r="K59" s="452"/>
      <c r="L59" s="452"/>
      <c r="M59" s="452"/>
      <c r="N59" s="422"/>
      <c r="O59" s="422"/>
      <c r="P59" s="422"/>
    </row>
    <row r="60" spans="1:16">
      <c r="A60" s="452"/>
      <c r="B60" s="452"/>
      <c r="C60" s="452"/>
      <c r="D60" s="452"/>
      <c r="E60" s="452"/>
      <c r="F60" s="452"/>
      <c r="G60" s="452"/>
      <c r="H60" s="452"/>
      <c r="I60" s="452"/>
      <c r="J60" s="452"/>
      <c r="K60" s="452"/>
      <c r="L60" s="452"/>
      <c r="M60" s="452"/>
      <c r="N60" s="422"/>
      <c r="O60" s="422"/>
      <c r="P60" s="422"/>
    </row>
    <row r="61" spans="1:16">
      <c r="A61" s="452"/>
      <c r="B61" s="452"/>
      <c r="C61" s="452"/>
      <c r="D61" s="452"/>
      <c r="E61" s="452"/>
      <c r="F61" s="452"/>
      <c r="G61" s="452"/>
      <c r="H61" s="452"/>
      <c r="I61" s="452"/>
      <c r="J61" s="452"/>
      <c r="K61" s="452"/>
      <c r="L61" s="452"/>
      <c r="M61" s="452"/>
      <c r="N61" s="422"/>
      <c r="O61" s="422"/>
      <c r="P61" s="422"/>
    </row>
    <row r="62" spans="1:16">
      <c r="A62" s="262"/>
      <c r="B62" s="262"/>
      <c r="C62" s="262"/>
      <c r="D62" s="262"/>
      <c r="E62" s="262"/>
      <c r="F62" s="262"/>
      <c r="G62" s="262"/>
      <c r="H62" s="262"/>
      <c r="I62" s="262"/>
      <c r="J62" s="262"/>
      <c r="K62" s="262"/>
      <c r="L62" s="262"/>
      <c r="M62" s="262"/>
    </row>
    <row r="63" spans="1:16">
      <c r="A63" s="262"/>
      <c r="B63" s="262"/>
      <c r="C63" s="262"/>
      <c r="D63" s="262"/>
      <c r="E63" s="262"/>
      <c r="F63" s="262"/>
      <c r="G63" s="262"/>
      <c r="H63" s="262"/>
      <c r="I63" s="262"/>
      <c r="J63" s="262"/>
      <c r="K63" s="262"/>
      <c r="L63" s="262"/>
      <c r="M63" s="262"/>
    </row>
    <row r="64" spans="1:16">
      <c r="A64" s="262"/>
      <c r="B64" s="262"/>
      <c r="C64" s="262"/>
      <c r="D64" s="262"/>
      <c r="E64" s="262"/>
      <c r="F64" s="262"/>
      <c r="G64" s="262"/>
      <c r="H64" s="262"/>
      <c r="I64" s="262"/>
      <c r="J64" s="262"/>
      <c r="K64" s="262"/>
      <c r="L64" s="262"/>
      <c r="M64" s="262"/>
    </row>
    <row r="65" spans="1:13">
      <c r="A65" s="262"/>
      <c r="B65" s="262"/>
      <c r="C65" s="262"/>
      <c r="D65" s="262"/>
      <c r="E65" s="262"/>
      <c r="F65" s="262"/>
      <c r="G65" s="262"/>
      <c r="H65" s="262"/>
      <c r="I65" s="262"/>
      <c r="J65" s="262"/>
      <c r="K65" s="262"/>
      <c r="L65" s="262"/>
      <c r="M65" s="262"/>
    </row>
  </sheetData>
  <mergeCells count="2">
    <mergeCell ref="A2:A4"/>
    <mergeCell ref="A6:A8"/>
  </mergeCells>
  <pageMargins left="0.511811024" right="0.511811024" top="4.1666666666666664E-2" bottom="0.125" header="0.31496062000000002" footer="0.31496062000000002"/>
  <pageSetup paperSize="9" scale="80" fitToHeight="0" orientation="landscape" horizontalDpi="360" verticalDpi="36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ilha6">
    <tabColor theme="5" tint="-0.249977111117893"/>
  </sheetPr>
  <dimension ref="A1:O61"/>
  <sheetViews>
    <sheetView view="pageBreakPreview" zoomScale="90" zoomScaleNormal="90" zoomScaleSheetLayoutView="90" zoomScalePageLayoutView="55" workbookViewId="0">
      <selection activeCell="P26" sqref="P26"/>
    </sheetView>
  </sheetViews>
  <sheetFormatPr defaultRowHeight="14.25"/>
  <cols>
    <col min="1" max="1" width="40.625" style="4" bestFit="1" customWidth="1"/>
  </cols>
  <sheetData>
    <row r="1" spans="1:15" s="285" customFormat="1" ht="15">
      <c r="A1" s="285" t="s">
        <v>2</v>
      </c>
      <c r="B1" s="304" t="s">
        <v>3</v>
      </c>
      <c r="C1" s="304" t="s">
        <v>4</v>
      </c>
      <c r="D1" s="304" t="s">
        <v>5</v>
      </c>
      <c r="E1" s="304" t="s">
        <v>6</v>
      </c>
      <c r="F1" s="304" t="s">
        <v>7</v>
      </c>
      <c r="G1" s="304" t="s">
        <v>8</v>
      </c>
      <c r="H1" s="304" t="s">
        <v>9</v>
      </c>
      <c r="I1" s="304" t="s">
        <v>10</v>
      </c>
      <c r="J1" s="304" t="s">
        <v>11</v>
      </c>
      <c r="K1" s="304" t="s">
        <v>12</v>
      </c>
      <c r="L1" s="304" t="s">
        <v>13</v>
      </c>
      <c r="M1" s="304" t="s">
        <v>14</v>
      </c>
    </row>
    <row r="2" spans="1:15" ht="15.75">
      <c r="A2" s="17" t="s">
        <v>78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5" ht="15">
      <c r="A3" s="20" t="s">
        <v>18</v>
      </c>
      <c r="B3" s="145">
        <f>Plano_Estatístico_2020_HJB!B341</f>
        <v>3.3913043478260869</v>
      </c>
      <c r="C3" s="145">
        <f>Plano_Estatístico_2020_HJB!C341</f>
        <v>2.8073394495412844</v>
      </c>
      <c r="D3" s="145">
        <f>Plano_Estatístico_2020_HJB!D341</f>
        <v>3.0357142857142856</v>
      </c>
      <c r="E3" s="145">
        <f>Plano_Estatístico_2020_HJB!E341</f>
        <v>4.2692307692307692</v>
      </c>
      <c r="F3" s="145">
        <f>Plano_Estatístico_2020_HJB!F341</f>
        <v>6.36</v>
      </c>
      <c r="G3" s="145">
        <f>Plano_Estatístico_2020_HJB!G341</f>
        <v>10.40625</v>
      </c>
      <c r="H3" s="145">
        <f>Plano_Estatístico_2020_HJB!H341</f>
        <v>7.8043478260869561</v>
      </c>
      <c r="I3" s="145">
        <f>Plano_Estatístico_2020_HJB!I341</f>
        <v>3.9380530973451329</v>
      </c>
      <c r="J3" s="145">
        <f>Plano_Estatístico_2020_HJB!J341</f>
        <v>3.78125</v>
      </c>
      <c r="K3" s="145">
        <f>Plano_Estatístico_2020_HJB!K341</f>
        <v>3.870967741935484</v>
      </c>
      <c r="L3" s="145">
        <f>Plano_Estatístico_2020_HJB!L341</f>
        <v>4.1306818181818183</v>
      </c>
      <c r="M3" s="145">
        <f>Plano_Estatístico_2020_HJB!M341</f>
        <v>4.274193548387097</v>
      </c>
    </row>
    <row r="4" spans="1:15" ht="15">
      <c r="A4" s="20" t="s">
        <v>19</v>
      </c>
      <c r="B4" s="145">
        <f>Plano_Estatístico_2020_HJB!B342</f>
        <v>16.142857142857142</v>
      </c>
      <c r="C4" s="145">
        <f>Plano_Estatístico_2020_HJB!C342</f>
        <v>14.015625</v>
      </c>
      <c r="D4" s="145">
        <f>Plano_Estatístico_2020_HJB!D342</f>
        <v>14.75</v>
      </c>
      <c r="E4" s="145">
        <f>Plano_Estatístico_2020_HJB!E342</f>
        <v>11.545454545454545</v>
      </c>
      <c r="F4" s="145">
        <f>Plano_Estatístico_2020_HJB!F342</f>
        <v>14.928571428571429</v>
      </c>
      <c r="G4" s="145">
        <f>Plano_Estatístico_2020_HJB!G342</f>
        <v>11.25</v>
      </c>
      <c r="H4" s="145">
        <f>Plano_Estatístico_2020_HJB!H342</f>
        <v>13.242424242424242</v>
      </c>
      <c r="I4" s="145">
        <f>Plano_Estatístico_2020_HJB!I342</f>
        <v>16.620689655172413</v>
      </c>
      <c r="J4" s="145">
        <f>Plano_Estatístico_2020_HJB!J342</f>
        <v>12.805555555555555</v>
      </c>
      <c r="K4" s="145">
        <f>Plano_Estatístico_2020_HJB!K342</f>
        <v>5.8712121212121211</v>
      </c>
      <c r="L4" s="145">
        <f>Plano_Estatístico_2020_HJB!L342</f>
        <v>9.6428571428571423</v>
      </c>
      <c r="M4" s="145">
        <f>Plano_Estatístico_2020_HJB!M342</f>
        <v>15</v>
      </c>
    </row>
    <row r="5" spans="1:15" ht="15">
      <c r="A5" s="20" t="s">
        <v>20</v>
      </c>
      <c r="B5" s="145">
        <f>Plano_Estatístico_2020_HJB!B343</f>
        <v>5.7941176470588234</v>
      </c>
      <c r="C5" s="145">
        <f>Plano_Estatístico_2020_HJB!C343</f>
        <v>4.8857142857142861</v>
      </c>
      <c r="D5" s="145">
        <f>Plano_Estatístico_2020_HJB!D343</f>
        <v>6.9230769230769234</v>
      </c>
      <c r="E5" s="145">
        <f>Plano_Estatístico_2020_HJB!E343</f>
        <v>7.5294117647058822</v>
      </c>
      <c r="F5" s="145">
        <f>Plano_Estatístico_2020_HJB!F343</f>
        <v>7.7647058823529411</v>
      </c>
      <c r="G5" s="145">
        <f>Plano_Estatístico_2020_HJB!G343</f>
        <v>5.3461538461538458</v>
      </c>
      <c r="H5" s="145">
        <f>Plano_Estatístico_2020_HJB!H343</f>
        <v>5.1379310344827589</v>
      </c>
      <c r="I5" s="145">
        <f>Plano_Estatístico_2020_HJB!I343</f>
        <v>5.3055555555555554</v>
      </c>
      <c r="J5" s="145">
        <f>Plano_Estatístico_2020_HJB!J343</f>
        <v>9.1923076923076916</v>
      </c>
      <c r="K5" s="145">
        <f>Plano_Estatístico_2020_HJB!K343</f>
        <v>7.9473684210526319</v>
      </c>
      <c r="L5" s="145">
        <f>Plano_Estatístico_2020_HJB!L343</f>
        <v>6.6111111111111107</v>
      </c>
      <c r="M5" s="145">
        <f>Plano_Estatístico_2020_HJB!M343</f>
        <v>6.8260869565217392</v>
      </c>
    </row>
    <row r="6" spans="1:15" ht="15.75">
      <c r="A6" s="23" t="s">
        <v>0</v>
      </c>
      <c r="B6" s="25">
        <f>Plano_Estatístico_2020_HJB!B344</f>
        <v>8.0740740740740744</v>
      </c>
      <c r="C6" s="25">
        <f>Plano_Estatístico_2020_HJB!C344</f>
        <v>6.6057692307692308</v>
      </c>
      <c r="D6" s="25">
        <f>Plano_Estatístico_2020_HJB!D344</f>
        <v>7.9252873563218387</v>
      </c>
      <c r="E6" s="25">
        <f>Plano_Estatístico_2020_HJB!E344</f>
        <v>9.1834862385321099</v>
      </c>
      <c r="F6" s="25">
        <f>Plano_Estatístico_2020_HJB!F344</f>
        <v>10.928571428571429</v>
      </c>
      <c r="G6" s="25">
        <f>Plano_Estatístico_2020_HJB!G344</f>
        <v>9.7203389830508478</v>
      </c>
      <c r="H6" s="25">
        <f>Plano_Estatístico_2020_HJB!H344</f>
        <v>9.8014184397163113</v>
      </c>
      <c r="I6" s="25">
        <f>Plano_Estatístico_2020_HJB!I344</f>
        <v>7.7294685990338161</v>
      </c>
      <c r="J6" s="25">
        <f>Plano_Estatístico_2020_HJB!J344</f>
        <v>7.8556701030927831</v>
      </c>
      <c r="K6" s="25">
        <f>Plano_Estatístico_2020_HJB!K344</f>
        <v>5.2704918032786887</v>
      </c>
      <c r="L6" s="25">
        <f>Plano_Estatístico_2020_HJB!L344</f>
        <v>5.3008474576271185</v>
      </c>
      <c r="M6" s="25">
        <f>Plano_Estatístico_2020_HJB!M344</f>
        <v>5.7890295358649793</v>
      </c>
    </row>
    <row r="7" spans="1:15">
      <c r="A7" s="422"/>
      <c r="B7" s="422"/>
      <c r="C7" s="422"/>
      <c r="D7" s="422"/>
      <c r="E7" s="422"/>
      <c r="F7" s="422"/>
      <c r="G7" s="422"/>
      <c r="H7" s="422"/>
      <c r="I7" s="422"/>
      <c r="J7" s="422"/>
      <c r="K7" s="422"/>
      <c r="L7" s="422"/>
      <c r="M7" s="422"/>
    </row>
    <row r="8" spans="1:15">
      <c r="A8" s="422"/>
      <c r="B8" s="422"/>
      <c r="C8" s="422"/>
      <c r="D8" s="422"/>
      <c r="E8" s="422"/>
      <c r="F8" s="422"/>
      <c r="G8" s="422"/>
      <c r="H8" s="422"/>
      <c r="I8" s="422"/>
      <c r="J8" s="422"/>
      <c r="K8" s="422"/>
      <c r="L8" s="422"/>
      <c r="M8" s="422"/>
    </row>
    <row r="9" spans="1:15">
      <c r="A9" s="422"/>
      <c r="B9" s="422"/>
      <c r="C9" s="422"/>
      <c r="D9" s="422"/>
      <c r="E9" s="422"/>
      <c r="F9" s="422"/>
      <c r="G9" s="422"/>
      <c r="H9" s="422"/>
      <c r="I9" s="422"/>
      <c r="J9" s="422"/>
      <c r="K9" s="422"/>
      <c r="L9" s="422"/>
      <c r="M9" s="422"/>
    </row>
    <row r="10" spans="1:15">
      <c r="A10" s="422"/>
      <c r="B10" s="422"/>
      <c r="C10" s="422"/>
      <c r="D10" s="422"/>
      <c r="E10" s="422"/>
      <c r="F10" s="422"/>
      <c r="G10" s="422"/>
      <c r="H10" s="422"/>
      <c r="I10" s="422"/>
      <c r="J10" s="422"/>
      <c r="K10" s="422"/>
      <c r="L10" s="422"/>
      <c r="M10" s="422"/>
    </row>
    <row r="11" spans="1:15">
      <c r="A11" s="422"/>
      <c r="B11" s="422"/>
      <c r="C11" s="422"/>
      <c r="D11" s="422"/>
      <c r="E11" s="422"/>
      <c r="F11" s="422"/>
      <c r="G11" s="422"/>
      <c r="H11" s="422"/>
      <c r="I11" s="422"/>
      <c r="J11" s="422"/>
      <c r="K11" s="422"/>
      <c r="L11" s="422"/>
      <c r="M11" s="422"/>
    </row>
    <row r="12" spans="1:15">
      <c r="A12" s="422"/>
      <c r="B12" s="422"/>
      <c r="C12" s="422"/>
      <c r="D12" s="422"/>
      <c r="E12" s="422"/>
      <c r="F12" s="422"/>
      <c r="G12" s="422"/>
      <c r="H12" s="422"/>
      <c r="I12" s="422"/>
      <c r="J12" s="422"/>
      <c r="K12" s="422"/>
      <c r="L12" s="422"/>
      <c r="M12" s="422"/>
    </row>
    <row r="13" spans="1:15">
      <c r="A13" s="422"/>
      <c r="B13" s="422"/>
      <c r="C13" s="422"/>
      <c r="D13" s="422"/>
      <c r="E13" s="422"/>
      <c r="F13" s="422"/>
      <c r="G13" s="422"/>
      <c r="H13" s="422"/>
      <c r="I13" s="422"/>
      <c r="J13" s="422"/>
      <c r="K13" s="422"/>
      <c r="L13" s="422"/>
      <c r="M13" s="422"/>
    </row>
    <row r="14" spans="1:15">
      <c r="A14" s="422"/>
      <c r="B14" s="422"/>
      <c r="C14" s="422"/>
      <c r="D14" s="422"/>
      <c r="E14" s="422"/>
      <c r="F14" s="422"/>
      <c r="G14" s="422"/>
      <c r="H14" s="422"/>
      <c r="I14" s="422"/>
      <c r="J14" s="422"/>
      <c r="K14" s="422"/>
      <c r="L14" s="422"/>
      <c r="M14" s="422"/>
    </row>
    <row r="15" spans="1:15">
      <c r="A15" s="422"/>
      <c r="B15" s="422"/>
      <c r="C15" s="422"/>
      <c r="D15" s="422"/>
      <c r="E15" s="422"/>
      <c r="F15" s="422"/>
      <c r="G15" s="422"/>
      <c r="H15" s="422"/>
      <c r="I15" s="422"/>
      <c r="J15" s="422"/>
      <c r="K15" s="422"/>
      <c r="L15" s="422"/>
      <c r="M15" s="422"/>
    </row>
    <row r="16" spans="1:15">
      <c r="A16" s="422"/>
      <c r="B16" s="422"/>
      <c r="C16" s="422"/>
      <c r="D16" s="422"/>
      <c r="E16" s="422"/>
      <c r="F16" s="422"/>
      <c r="G16" s="422"/>
      <c r="H16" s="422"/>
      <c r="I16" s="422"/>
      <c r="J16" s="422"/>
      <c r="K16" s="422"/>
      <c r="L16" s="422"/>
      <c r="M16" s="422"/>
      <c r="O16" t="s">
        <v>830</v>
      </c>
    </row>
    <row r="17" spans="1:13">
      <c r="A17" s="422"/>
      <c r="B17" s="422"/>
      <c r="C17" s="422"/>
      <c r="D17" s="422"/>
      <c r="E17" s="422"/>
      <c r="F17" s="422"/>
      <c r="G17" s="422"/>
      <c r="H17" s="422"/>
      <c r="I17" s="422"/>
      <c r="J17" s="422"/>
      <c r="K17" s="422"/>
      <c r="L17" s="422"/>
      <c r="M17" s="422"/>
    </row>
    <row r="18" spans="1:13">
      <c r="A18" s="422"/>
      <c r="B18" s="422"/>
      <c r="C18" s="422"/>
      <c r="D18" s="422"/>
      <c r="E18" s="422"/>
      <c r="F18" s="422"/>
      <c r="G18" s="422"/>
      <c r="H18" s="422"/>
      <c r="I18" s="422"/>
      <c r="J18" s="422"/>
      <c r="K18" s="422"/>
      <c r="L18" s="422"/>
      <c r="M18" s="422"/>
    </row>
    <row r="19" spans="1:13">
      <c r="A19" s="422"/>
      <c r="B19" s="422"/>
      <c r="C19" s="422"/>
      <c r="D19" s="422"/>
      <c r="E19" s="422"/>
      <c r="F19" s="422"/>
      <c r="G19" s="422"/>
      <c r="H19" s="422"/>
      <c r="I19" s="422"/>
      <c r="J19" s="422"/>
      <c r="K19" s="422"/>
      <c r="L19" s="422"/>
      <c r="M19" s="422"/>
    </row>
    <row r="20" spans="1:13">
      <c r="A20" s="422"/>
      <c r="B20" s="422"/>
      <c r="C20" s="422"/>
      <c r="D20" s="422"/>
      <c r="E20" s="422"/>
      <c r="F20" s="422"/>
      <c r="G20" s="422"/>
      <c r="H20" s="422"/>
      <c r="I20" s="422"/>
      <c r="J20" s="422"/>
      <c r="K20" s="422"/>
      <c r="L20" s="422"/>
      <c r="M20" s="422"/>
    </row>
    <row r="21" spans="1:13">
      <c r="A21" s="422"/>
      <c r="B21" s="422"/>
      <c r="C21" s="422"/>
      <c r="D21" s="422"/>
      <c r="E21" s="422"/>
      <c r="F21" s="422"/>
      <c r="G21" s="422"/>
      <c r="H21" s="422"/>
      <c r="I21" s="422"/>
      <c r="J21" s="422"/>
      <c r="K21" s="422"/>
      <c r="L21" s="422"/>
      <c r="M21" s="422"/>
    </row>
    <row r="22" spans="1:13">
      <c r="A22" s="422"/>
      <c r="B22" s="422"/>
      <c r="C22" s="422"/>
      <c r="D22" s="422"/>
      <c r="E22" s="422"/>
      <c r="F22" s="422"/>
      <c r="G22" s="422"/>
      <c r="H22" s="422"/>
      <c r="I22" s="422"/>
      <c r="J22" s="422"/>
      <c r="K22" s="422"/>
      <c r="L22" s="422"/>
      <c r="M22" s="422"/>
    </row>
    <row r="23" spans="1:13">
      <c r="A23" s="422"/>
      <c r="B23" s="422"/>
      <c r="C23" s="422"/>
      <c r="D23" s="422"/>
      <c r="E23" s="422"/>
      <c r="F23" s="422"/>
      <c r="G23" s="422"/>
      <c r="H23" s="422"/>
      <c r="I23" s="422"/>
      <c r="J23" s="422"/>
      <c r="K23" s="422"/>
      <c r="L23" s="422"/>
      <c r="M23" s="422"/>
    </row>
    <row r="24" spans="1:13">
      <c r="A24" s="422"/>
      <c r="B24" s="422"/>
      <c r="C24" s="422"/>
      <c r="D24" s="422"/>
      <c r="E24" s="422"/>
      <c r="F24" s="422"/>
      <c r="G24" s="422"/>
      <c r="H24" s="422"/>
      <c r="I24" s="422"/>
      <c r="J24" s="422"/>
      <c r="K24" s="422"/>
      <c r="L24" s="422"/>
      <c r="M24" s="422"/>
    </row>
    <row r="25" spans="1:13">
      <c r="A25" s="422"/>
      <c r="B25" s="422"/>
      <c r="C25" s="422"/>
      <c r="D25" s="422"/>
      <c r="E25" s="422"/>
      <c r="F25" s="422"/>
      <c r="G25" s="422"/>
      <c r="H25" s="422"/>
      <c r="I25" s="422"/>
      <c r="J25" s="422"/>
      <c r="K25" s="422"/>
      <c r="L25" s="422"/>
      <c r="M25" s="422"/>
    </row>
    <row r="26" spans="1:13">
      <c r="A26" s="422"/>
      <c r="B26" s="422"/>
      <c r="C26" s="422"/>
      <c r="D26" s="422"/>
      <c r="E26" s="422"/>
      <c r="F26" s="422"/>
      <c r="G26" s="422"/>
      <c r="H26" s="422"/>
      <c r="I26" s="422"/>
      <c r="J26" s="422"/>
      <c r="K26" s="422"/>
      <c r="L26" s="422"/>
      <c r="M26" s="422"/>
    </row>
    <row r="27" spans="1:13">
      <c r="A27" s="422"/>
      <c r="B27" s="422"/>
      <c r="C27" s="422"/>
      <c r="D27" s="422"/>
      <c r="E27" s="422"/>
      <c r="F27" s="422"/>
      <c r="G27" s="422"/>
      <c r="H27" s="422"/>
      <c r="I27" s="422"/>
      <c r="J27" s="422"/>
      <c r="K27" s="422"/>
      <c r="L27" s="422"/>
      <c r="M27" s="422"/>
    </row>
    <row r="28" spans="1:13">
      <c r="A28" s="422"/>
      <c r="B28" s="422"/>
      <c r="C28" s="422"/>
      <c r="D28" s="422"/>
      <c r="E28" s="422"/>
      <c r="F28" s="422"/>
      <c r="G28" s="422"/>
      <c r="H28" s="422"/>
      <c r="I28" s="422"/>
      <c r="J28" s="422"/>
      <c r="K28" s="422"/>
      <c r="L28" s="422"/>
      <c r="M28" s="422"/>
    </row>
    <row r="29" spans="1:13">
      <c r="A29" s="422"/>
      <c r="B29" s="422"/>
      <c r="C29" s="422"/>
      <c r="D29" s="422"/>
      <c r="E29" s="422"/>
      <c r="F29" s="422"/>
      <c r="G29" s="422"/>
      <c r="H29" s="422"/>
      <c r="I29" s="422"/>
      <c r="J29" s="422"/>
      <c r="K29" s="422"/>
      <c r="L29" s="422"/>
      <c r="M29" s="422"/>
    </row>
    <row r="30" spans="1:13">
      <c r="A30" s="422"/>
      <c r="B30" s="422"/>
      <c r="C30" s="422"/>
      <c r="D30" s="422"/>
      <c r="E30" s="422"/>
      <c r="F30" s="422"/>
      <c r="G30" s="422"/>
      <c r="H30" s="422"/>
      <c r="I30" s="422"/>
      <c r="J30" s="422"/>
      <c r="K30" s="422"/>
      <c r="L30" s="422"/>
      <c r="M30" s="422"/>
    </row>
    <row r="31" spans="1:13">
      <c r="A31" s="422"/>
      <c r="B31" s="422"/>
      <c r="C31" s="422"/>
      <c r="D31" s="422"/>
      <c r="E31" s="422"/>
      <c r="F31" s="422"/>
      <c r="G31" s="422"/>
      <c r="H31" s="422"/>
      <c r="I31" s="422"/>
      <c r="J31" s="422"/>
      <c r="K31" s="422"/>
      <c r="L31" s="422"/>
      <c r="M31" s="422"/>
    </row>
    <row r="32" spans="1:13">
      <c r="A32" s="422"/>
      <c r="B32" s="422"/>
      <c r="C32" s="422"/>
      <c r="D32" s="422"/>
      <c r="E32" s="422"/>
      <c r="F32" s="422"/>
      <c r="G32" s="422"/>
      <c r="H32" s="422"/>
      <c r="I32" s="422"/>
      <c r="J32" s="422"/>
      <c r="K32" s="422"/>
      <c r="L32" s="422"/>
      <c r="M32" s="422"/>
    </row>
    <row r="33" spans="1:13">
      <c r="A33" s="422"/>
      <c r="B33" s="422"/>
      <c r="C33" s="422"/>
      <c r="D33" s="422"/>
      <c r="E33" s="422"/>
      <c r="F33" s="422"/>
      <c r="G33" s="422"/>
      <c r="H33" s="422"/>
      <c r="I33" s="422"/>
      <c r="J33" s="422"/>
      <c r="K33" s="422"/>
      <c r="L33" s="422"/>
      <c r="M33" s="422"/>
    </row>
    <row r="34" spans="1:13">
      <c r="A34" s="422"/>
      <c r="B34" s="422"/>
      <c r="C34" s="422"/>
      <c r="D34" s="422"/>
      <c r="E34" s="422"/>
      <c r="F34" s="422"/>
      <c r="G34" s="422"/>
      <c r="H34" s="422"/>
      <c r="I34" s="422"/>
      <c r="J34" s="422"/>
      <c r="K34" s="422"/>
      <c r="L34" s="422"/>
      <c r="M34" s="422"/>
    </row>
    <row r="35" spans="1:13">
      <c r="A35" s="422"/>
      <c r="B35" s="422"/>
      <c r="C35" s="422"/>
      <c r="D35" s="422"/>
      <c r="E35" s="422"/>
      <c r="F35" s="422"/>
      <c r="G35" s="422"/>
      <c r="H35" s="422"/>
      <c r="I35" s="422"/>
      <c r="J35" s="422"/>
      <c r="K35" s="422"/>
      <c r="L35" s="422"/>
      <c r="M35" s="422"/>
    </row>
    <row r="36" spans="1:13">
      <c r="A36" s="422"/>
      <c r="B36" s="422"/>
      <c r="C36" s="422"/>
      <c r="D36" s="422"/>
      <c r="E36" s="422"/>
      <c r="F36" s="422"/>
      <c r="G36" s="422"/>
      <c r="H36" s="422"/>
      <c r="I36" s="422"/>
      <c r="J36" s="422"/>
      <c r="K36" s="422"/>
      <c r="L36" s="422"/>
      <c r="M36" s="422"/>
    </row>
    <row r="37" spans="1:13">
      <c r="A37" s="422"/>
      <c r="B37" s="422"/>
      <c r="C37" s="422"/>
      <c r="D37" s="422"/>
      <c r="E37" s="422"/>
      <c r="F37" s="422"/>
      <c r="G37" s="422"/>
      <c r="H37" s="422"/>
      <c r="I37" s="422"/>
      <c r="J37" s="422"/>
      <c r="K37" s="422"/>
      <c r="L37" s="422"/>
      <c r="M37" s="422"/>
    </row>
    <row r="38" spans="1:13">
      <c r="A38" s="422"/>
      <c r="B38" s="422"/>
      <c r="C38" s="422"/>
      <c r="D38" s="422"/>
      <c r="E38" s="422"/>
      <c r="F38" s="422"/>
      <c r="G38" s="422"/>
      <c r="H38" s="422"/>
      <c r="I38" s="422"/>
      <c r="J38" s="422"/>
      <c r="K38" s="422"/>
      <c r="L38" s="422"/>
      <c r="M38" s="422"/>
    </row>
    <row r="39" spans="1:13">
      <c r="A39" s="422"/>
      <c r="B39" s="422"/>
      <c r="C39" s="422"/>
      <c r="D39" s="422"/>
      <c r="E39" s="422"/>
      <c r="F39" s="422"/>
      <c r="G39" s="422"/>
      <c r="H39" s="422"/>
      <c r="I39" s="422"/>
      <c r="J39" s="422"/>
      <c r="K39" s="422"/>
      <c r="L39" s="422"/>
      <c r="M39" s="422"/>
    </row>
    <row r="40" spans="1:13">
      <c r="A40" s="422"/>
      <c r="B40" s="422"/>
      <c r="C40" s="422"/>
      <c r="D40" s="422"/>
      <c r="E40" s="422"/>
      <c r="F40" s="422"/>
      <c r="G40" s="422"/>
      <c r="H40" s="422"/>
      <c r="I40" s="422"/>
      <c r="J40" s="422"/>
      <c r="K40" s="422"/>
      <c r="L40" s="422"/>
      <c r="M40" s="422"/>
    </row>
    <row r="41" spans="1:13">
      <c r="A41" s="422"/>
      <c r="B41" s="422"/>
      <c r="C41" s="422"/>
      <c r="D41" s="422"/>
      <c r="E41" s="422"/>
      <c r="F41" s="422"/>
      <c r="G41" s="422"/>
      <c r="H41" s="422"/>
      <c r="I41" s="422"/>
      <c r="J41" s="422"/>
      <c r="K41" s="422"/>
      <c r="L41" s="422"/>
      <c r="M41" s="422"/>
    </row>
    <row r="42" spans="1:13">
      <c r="A42" s="422"/>
      <c r="B42" s="422"/>
      <c r="C42" s="422"/>
      <c r="D42" s="422"/>
      <c r="E42" s="422"/>
      <c r="F42" s="422"/>
      <c r="G42" s="422"/>
      <c r="H42" s="422"/>
      <c r="I42" s="422"/>
      <c r="J42" s="422"/>
      <c r="K42" s="422"/>
      <c r="L42" s="422"/>
      <c r="M42" s="422"/>
    </row>
    <row r="43" spans="1:13">
      <c r="A43" s="422"/>
      <c r="B43" s="422"/>
      <c r="C43" s="422"/>
      <c r="D43" s="422"/>
      <c r="E43" s="422"/>
      <c r="F43" s="422"/>
      <c r="G43" s="422"/>
      <c r="H43" s="422"/>
      <c r="I43" s="422"/>
      <c r="J43" s="423" t="s">
        <v>608</v>
      </c>
      <c r="K43" s="422"/>
      <c r="L43" s="422"/>
      <c r="M43" s="422"/>
    </row>
    <row r="44" spans="1:13">
      <c r="A44" s="422"/>
      <c r="B44" s="422"/>
      <c r="C44" s="422"/>
      <c r="D44" s="422"/>
      <c r="E44" s="422"/>
      <c r="F44" s="422"/>
      <c r="G44" s="422"/>
      <c r="H44" s="422"/>
      <c r="I44" s="422"/>
      <c r="J44" s="422"/>
      <c r="K44" s="422"/>
      <c r="L44" s="422"/>
      <c r="M44" s="422"/>
    </row>
    <row r="45" spans="1:13">
      <c r="A45" s="422"/>
      <c r="B45" s="422"/>
      <c r="C45" s="422"/>
      <c r="D45" s="422"/>
      <c r="E45" s="422"/>
      <c r="F45" s="422"/>
      <c r="G45" s="422"/>
      <c r="H45" s="422"/>
      <c r="I45" s="422"/>
      <c r="J45" s="422"/>
      <c r="K45" s="422"/>
      <c r="L45" s="422"/>
      <c r="M45" s="422"/>
    </row>
    <row r="46" spans="1:13">
      <c r="A46" s="422"/>
      <c r="B46" s="422"/>
      <c r="C46" s="422"/>
      <c r="D46" s="422"/>
      <c r="E46" s="422"/>
      <c r="F46" s="422"/>
      <c r="G46" s="422"/>
      <c r="H46" s="422"/>
      <c r="I46" s="422"/>
      <c r="J46" s="422"/>
      <c r="K46" s="422"/>
      <c r="L46" s="422"/>
      <c r="M46" s="422"/>
    </row>
    <row r="47" spans="1:13">
      <c r="A47" s="422"/>
      <c r="B47" s="422"/>
      <c r="C47" s="422"/>
      <c r="D47" s="422"/>
      <c r="E47" s="422"/>
      <c r="F47" s="422"/>
      <c r="G47" s="422"/>
      <c r="H47" s="422"/>
      <c r="I47" s="422"/>
      <c r="J47" s="422"/>
      <c r="K47" s="422"/>
      <c r="L47" s="422"/>
      <c r="M47" s="422"/>
    </row>
    <row r="48" spans="1:13">
      <c r="A48" s="422"/>
      <c r="B48" s="422"/>
      <c r="C48" s="422"/>
      <c r="D48" s="422"/>
      <c r="E48" s="422"/>
      <c r="F48" s="422"/>
      <c r="G48" s="422"/>
      <c r="H48" s="422"/>
      <c r="I48" s="422"/>
      <c r="J48" s="422"/>
      <c r="K48" s="422"/>
      <c r="L48" s="422"/>
      <c r="M48" s="422"/>
    </row>
    <row r="49" spans="1:13">
      <c r="A49" s="422"/>
      <c r="B49" s="422"/>
      <c r="C49" s="422"/>
      <c r="D49" s="422"/>
      <c r="E49" s="422"/>
      <c r="F49" s="422"/>
      <c r="G49" s="422"/>
      <c r="H49" s="422"/>
      <c r="I49" s="422"/>
      <c r="J49" s="422"/>
      <c r="K49" s="422"/>
      <c r="L49" s="422"/>
      <c r="M49" s="422"/>
    </row>
    <row r="50" spans="1:13">
      <c r="A50" s="422"/>
      <c r="B50" s="422"/>
      <c r="C50" s="422"/>
      <c r="D50" s="422"/>
      <c r="E50" s="422"/>
      <c r="F50" s="422"/>
      <c r="G50" s="422"/>
      <c r="H50" s="422"/>
      <c r="I50" s="422"/>
      <c r="J50" s="422"/>
      <c r="K50" s="422"/>
      <c r="L50" s="422"/>
      <c r="M50" s="422"/>
    </row>
    <row r="51" spans="1:13">
      <c r="A51" s="422"/>
      <c r="B51" s="422"/>
      <c r="C51" s="422"/>
      <c r="D51" s="422"/>
      <c r="E51" s="422"/>
      <c r="F51" s="422"/>
      <c r="G51" s="422"/>
      <c r="H51" s="422"/>
      <c r="I51" s="422"/>
      <c r="J51" s="422"/>
      <c r="K51" s="422"/>
      <c r="L51" s="422"/>
      <c r="M51" s="422"/>
    </row>
    <row r="52" spans="1:13">
      <c r="A52" s="422"/>
      <c r="B52" s="422"/>
      <c r="C52" s="422"/>
      <c r="D52" s="422"/>
      <c r="E52" s="422"/>
      <c r="F52" s="422"/>
      <c r="G52" s="422"/>
      <c r="H52" s="422"/>
      <c r="I52" s="422"/>
      <c r="J52" s="422"/>
      <c r="K52" s="422"/>
      <c r="L52" s="422"/>
      <c r="M52" s="422"/>
    </row>
    <row r="53" spans="1:13">
      <c r="A53" s="422"/>
      <c r="B53" s="422"/>
      <c r="C53" s="422"/>
      <c r="D53" s="422"/>
      <c r="E53" s="422"/>
      <c r="F53" s="422"/>
      <c r="G53" s="422"/>
      <c r="H53" s="422"/>
      <c r="I53" s="422"/>
      <c r="J53" s="422"/>
      <c r="K53" s="422"/>
      <c r="L53" s="422"/>
      <c r="M53" s="422"/>
    </row>
    <row r="54" spans="1:13">
      <c r="A54" s="422"/>
      <c r="B54" s="422"/>
      <c r="C54" s="422"/>
      <c r="D54" s="422"/>
      <c r="E54" s="422"/>
      <c r="F54" s="422"/>
      <c r="G54" s="422"/>
      <c r="H54" s="422"/>
      <c r="I54" s="422"/>
      <c r="J54" s="422"/>
      <c r="K54" s="422"/>
      <c r="L54" s="422"/>
      <c r="M54" s="422"/>
    </row>
    <row r="55" spans="1:13">
      <c r="A55" s="422"/>
      <c r="B55" s="422"/>
      <c r="C55" s="422"/>
      <c r="D55" s="422"/>
      <c r="E55" s="422"/>
      <c r="F55" s="422"/>
      <c r="G55" s="422"/>
      <c r="H55" s="422"/>
      <c r="I55" s="422"/>
      <c r="J55" s="422"/>
      <c r="K55" s="422"/>
      <c r="L55" s="422"/>
      <c r="M55" s="422"/>
    </row>
    <row r="56" spans="1:13">
      <c r="A56" s="422"/>
      <c r="B56" s="422"/>
      <c r="C56" s="422"/>
      <c r="D56" s="422"/>
      <c r="E56" s="422"/>
      <c r="F56" s="422"/>
      <c r="G56" s="422"/>
      <c r="H56" s="422"/>
      <c r="I56" s="422"/>
      <c r="J56" s="422"/>
      <c r="K56" s="422"/>
      <c r="L56" s="422"/>
      <c r="M56" s="422"/>
    </row>
    <row r="57" spans="1:13">
      <c r="A57" s="422"/>
      <c r="B57" s="422"/>
      <c r="C57" s="422"/>
      <c r="D57" s="422"/>
      <c r="E57" s="422"/>
      <c r="F57" s="422"/>
      <c r="G57" s="422"/>
      <c r="H57" s="422"/>
      <c r="I57" s="422"/>
      <c r="J57" s="422"/>
      <c r="K57" s="422"/>
      <c r="L57" s="422"/>
      <c r="M57" s="422"/>
    </row>
    <row r="58" spans="1:13">
      <c r="A58" s="422"/>
      <c r="B58" s="422"/>
      <c r="C58" s="422"/>
      <c r="D58" s="422"/>
      <c r="E58" s="422"/>
      <c r="F58" s="422"/>
      <c r="G58" s="422"/>
      <c r="H58" s="422"/>
      <c r="I58" s="422"/>
      <c r="J58" s="422"/>
      <c r="K58" s="422"/>
      <c r="L58" s="422"/>
      <c r="M58" s="422"/>
    </row>
    <row r="59" spans="1:13">
      <c r="A59" s="422"/>
      <c r="B59" s="422"/>
      <c r="C59" s="422"/>
      <c r="D59" s="422"/>
      <c r="E59" s="422"/>
      <c r="F59" s="422"/>
      <c r="G59" s="422"/>
      <c r="H59" s="422"/>
      <c r="I59" s="422"/>
      <c r="J59" s="422"/>
      <c r="K59" s="422"/>
      <c r="L59" s="422"/>
      <c r="M59" s="422"/>
    </row>
    <row r="60" spans="1:13">
      <c r="A60" s="422"/>
      <c r="B60" s="422"/>
      <c r="C60" s="422"/>
      <c r="D60" s="422"/>
      <c r="E60" s="422"/>
      <c r="F60" s="422"/>
      <c r="G60" s="422"/>
      <c r="H60" s="422"/>
      <c r="I60" s="422"/>
      <c r="J60" s="422"/>
      <c r="K60" s="422"/>
      <c r="L60" s="422"/>
      <c r="M60" s="422"/>
    </row>
    <row r="61" spans="1:13">
      <c r="A61" s="422"/>
      <c r="B61" s="422"/>
      <c r="C61" s="422"/>
      <c r="D61" s="422"/>
      <c r="E61" s="422"/>
      <c r="F61" s="422"/>
      <c r="G61" s="422"/>
      <c r="H61" s="422"/>
      <c r="I61" s="422"/>
      <c r="J61" s="422"/>
      <c r="K61" s="422"/>
      <c r="L61" s="422"/>
      <c r="M61" s="422"/>
    </row>
  </sheetData>
  <pageMargins left="0.511811024" right="0.511811024" top="0.16041666666666668" bottom="0.17499999999999999" header="0.31496062000000002" footer="0.31496062000000002"/>
  <pageSetup scale="77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1"/>
  </sheetPr>
  <dimension ref="A1:N16"/>
  <sheetViews>
    <sheetView workbookViewId="0">
      <selection activeCell="K24" sqref="K24"/>
    </sheetView>
  </sheetViews>
  <sheetFormatPr defaultRowHeight="14.25"/>
  <cols>
    <col min="1" max="1" width="31.875" bestFit="1" customWidth="1"/>
    <col min="2" max="12" width="5.75" bestFit="1" customWidth="1"/>
    <col min="13" max="13" width="6.625" style="326" bestFit="1" customWidth="1"/>
    <col min="14" max="14" width="6.25" style="326" bestFit="1" customWidth="1"/>
  </cols>
  <sheetData>
    <row r="1" spans="1:14" s="4" customFormat="1">
      <c r="A1" s="330" t="s">
        <v>671</v>
      </c>
      <c r="B1" s="331" t="s">
        <v>3</v>
      </c>
      <c r="C1" s="331" t="s">
        <v>4</v>
      </c>
      <c r="D1" s="331" t="s">
        <v>5</v>
      </c>
      <c r="E1" s="331" t="s">
        <v>6</v>
      </c>
      <c r="F1" s="331" t="s">
        <v>7</v>
      </c>
      <c r="G1" s="331" t="s">
        <v>8</v>
      </c>
      <c r="H1" s="331" t="s">
        <v>9</v>
      </c>
      <c r="I1" s="331" t="s">
        <v>10</v>
      </c>
      <c r="J1" s="331" t="s">
        <v>11</v>
      </c>
      <c r="K1" s="331" t="s">
        <v>12</v>
      </c>
      <c r="L1" s="331" t="s">
        <v>13</v>
      </c>
      <c r="M1" s="331" t="s">
        <v>664</v>
      </c>
      <c r="N1" s="339" t="s">
        <v>16</v>
      </c>
    </row>
    <row r="2" spans="1:14">
      <c r="A2" s="332" t="s">
        <v>665</v>
      </c>
      <c r="B2" s="328">
        <v>184</v>
      </c>
      <c r="C2" s="328">
        <v>192</v>
      </c>
      <c r="D2" s="328">
        <v>169</v>
      </c>
      <c r="E2" s="328">
        <v>175</v>
      </c>
      <c r="F2" s="328">
        <v>174</v>
      </c>
      <c r="G2" s="328">
        <v>160</v>
      </c>
      <c r="H2" s="328">
        <v>189</v>
      </c>
      <c r="I2" s="328">
        <v>181</v>
      </c>
      <c r="J2" s="328">
        <v>168</v>
      </c>
      <c r="K2" s="328">
        <v>162</v>
      </c>
      <c r="L2" s="328">
        <v>164</v>
      </c>
      <c r="M2" s="340">
        <v>1918</v>
      </c>
      <c r="N2" s="341">
        <v>174.36363636363635</v>
      </c>
    </row>
    <row r="3" spans="1:14">
      <c r="A3" s="333" t="s">
        <v>666</v>
      </c>
      <c r="B3" s="327">
        <v>2693</v>
      </c>
      <c r="C3" s="327">
        <v>2763</v>
      </c>
      <c r="D3" s="327">
        <v>2587</v>
      </c>
      <c r="E3" s="327">
        <v>3005</v>
      </c>
      <c r="F3" s="327">
        <v>3200</v>
      </c>
      <c r="G3" s="327">
        <v>2941</v>
      </c>
      <c r="H3" s="327">
        <v>3133</v>
      </c>
      <c r="I3" s="327">
        <v>3268</v>
      </c>
      <c r="J3" s="327">
        <v>3204</v>
      </c>
      <c r="K3" s="327">
        <v>3466</v>
      </c>
      <c r="L3" s="327">
        <v>3047</v>
      </c>
      <c r="M3" s="342">
        <v>33307</v>
      </c>
      <c r="N3" s="343">
        <v>3027.909090909091</v>
      </c>
    </row>
    <row r="4" spans="1:14">
      <c r="A4" s="334" t="s">
        <v>667</v>
      </c>
      <c r="B4" s="328">
        <v>9693</v>
      </c>
      <c r="C4" s="328">
        <v>8920</v>
      </c>
      <c r="D4" s="328">
        <v>8985</v>
      </c>
      <c r="E4" s="328">
        <v>9416</v>
      </c>
      <c r="F4" s="328">
        <v>9567</v>
      </c>
      <c r="G4" s="328">
        <v>8830</v>
      </c>
      <c r="H4" s="328">
        <v>9436</v>
      </c>
      <c r="I4" s="328">
        <v>8983</v>
      </c>
      <c r="J4" s="328">
        <v>8706</v>
      </c>
      <c r="K4" s="328">
        <v>8593</v>
      </c>
      <c r="L4" s="328">
        <v>8012</v>
      </c>
      <c r="M4" s="340">
        <v>99141</v>
      </c>
      <c r="N4" s="341">
        <v>9012.818181818182</v>
      </c>
    </row>
    <row r="5" spans="1:14">
      <c r="A5" s="334" t="s">
        <v>668</v>
      </c>
      <c r="B5" s="328">
        <v>13678</v>
      </c>
      <c r="C5" s="328">
        <v>13183</v>
      </c>
      <c r="D5" s="328">
        <v>13615</v>
      </c>
      <c r="E5" s="328">
        <v>13987</v>
      </c>
      <c r="F5" s="328">
        <v>14182</v>
      </c>
      <c r="G5" s="328">
        <v>13822</v>
      </c>
      <c r="H5" s="328">
        <v>13926</v>
      </c>
      <c r="I5" s="328">
        <v>14014</v>
      </c>
      <c r="J5" s="328">
        <v>14112</v>
      </c>
      <c r="K5" s="328">
        <v>14754</v>
      </c>
      <c r="L5" s="328">
        <v>12824</v>
      </c>
      <c r="M5" s="340">
        <v>152097</v>
      </c>
      <c r="N5" s="341">
        <v>13827</v>
      </c>
    </row>
    <row r="6" spans="1:14">
      <c r="A6" s="334" t="s">
        <v>359</v>
      </c>
      <c r="B6" s="328">
        <v>2289</v>
      </c>
      <c r="C6" s="328">
        <v>2370</v>
      </c>
      <c r="D6" s="328">
        <v>2424</v>
      </c>
      <c r="E6" s="328">
        <v>2792</v>
      </c>
      <c r="F6" s="328">
        <v>3679</v>
      </c>
      <c r="G6" s="328">
        <v>3792</v>
      </c>
      <c r="H6" s="328">
        <v>2110</v>
      </c>
      <c r="I6" s="328">
        <v>2180</v>
      </c>
      <c r="J6" s="328">
        <v>1805</v>
      </c>
      <c r="K6" s="328">
        <v>1515</v>
      </c>
      <c r="L6" s="328">
        <v>1485</v>
      </c>
      <c r="M6" s="340">
        <v>26441</v>
      </c>
      <c r="N6" s="341">
        <v>2403.7272727272725</v>
      </c>
    </row>
    <row r="7" spans="1:14">
      <c r="A7" s="334" t="s">
        <v>360</v>
      </c>
      <c r="B7" s="328">
        <v>144</v>
      </c>
      <c r="C7" s="328">
        <v>139</v>
      </c>
      <c r="D7" s="328">
        <v>168</v>
      </c>
      <c r="E7" s="328">
        <v>194</v>
      </c>
      <c r="F7" s="328">
        <v>233</v>
      </c>
      <c r="G7" s="328">
        <v>213</v>
      </c>
      <c r="H7" s="328">
        <v>147</v>
      </c>
      <c r="I7" s="328">
        <v>139</v>
      </c>
      <c r="J7" s="328">
        <v>129</v>
      </c>
      <c r="K7" s="328">
        <v>107</v>
      </c>
      <c r="L7" s="328">
        <v>113</v>
      </c>
      <c r="M7" s="340">
        <v>1726</v>
      </c>
      <c r="N7" s="341">
        <v>156.90909090909091</v>
      </c>
    </row>
    <row r="8" spans="1:14">
      <c r="A8" s="334" t="s">
        <v>196</v>
      </c>
      <c r="B8" s="328">
        <v>47</v>
      </c>
      <c r="C8" s="328">
        <v>120</v>
      </c>
      <c r="D8" s="328">
        <v>47</v>
      </c>
      <c r="E8" s="328">
        <v>46</v>
      </c>
      <c r="F8" s="328">
        <v>70</v>
      </c>
      <c r="G8" s="328">
        <v>72</v>
      </c>
      <c r="H8" s="328">
        <v>79</v>
      </c>
      <c r="I8" s="328">
        <v>49</v>
      </c>
      <c r="J8" s="328">
        <v>81</v>
      </c>
      <c r="K8" s="328">
        <v>52</v>
      </c>
      <c r="L8" s="328">
        <v>80</v>
      </c>
      <c r="M8" s="340">
        <v>743</v>
      </c>
      <c r="N8" s="341">
        <v>67.545454545454547</v>
      </c>
    </row>
    <row r="9" spans="1:14">
      <c r="A9" s="334" t="s">
        <v>301</v>
      </c>
      <c r="B9" s="328">
        <v>35</v>
      </c>
      <c r="C9" s="328">
        <v>30</v>
      </c>
      <c r="D9" s="328">
        <v>59</v>
      </c>
      <c r="E9" s="328">
        <v>61</v>
      </c>
      <c r="F9" s="328">
        <v>84</v>
      </c>
      <c r="G9" s="328">
        <v>32</v>
      </c>
      <c r="H9" s="328">
        <v>48</v>
      </c>
      <c r="I9" s="328">
        <v>62</v>
      </c>
      <c r="J9" s="328">
        <v>50</v>
      </c>
      <c r="K9" s="328">
        <v>34</v>
      </c>
      <c r="L9" s="328">
        <v>18</v>
      </c>
      <c r="M9" s="340">
        <v>513</v>
      </c>
      <c r="N9" s="341">
        <v>46.636363636363633</v>
      </c>
    </row>
    <row r="10" spans="1:14">
      <c r="A10" s="334" t="s">
        <v>318</v>
      </c>
      <c r="B10" s="328">
        <v>30</v>
      </c>
      <c r="C10" s="328">
        <v>31</v>
      </c>
      <c r="D10" s="328">
        <v>32</v>
      </c>
      <c r="E10" s="328">
        <v>23</v>
      </c>
      <c r="F10" s="328">
        <v>34</v>
      </c>
      <c r="G10" s="328">
        <v>31</v>
      </c>
      <c r="H10" s="328">
        <v>29</v>
      </c>
      <c r="I10" s="328">
        <v>31</v>
      </c>
      <c r="J10" s="328">
        <v>32</v>
      </c>
      <c r="K10" s="328">
        <v>39</v>
      </c>
      <c r="L10" s="328">
        <v>46</v>
      </c>
      <c r="M10" s="340">
        <v>358</v>
      </c>
      <c r="N10" s="341">
        <v>32.545454545454547</v>
      </c>
    </row>
    <row r="11" spans="1:14">
      <c r="A11" s="335" t="s">
        <v>345</v>
      </c>
      <c r="B11" s="329">
        <v>1881</v>
      </c>
      <c r="C11" s="329">
        <v>1983</v>
      </c>
      <c r="D11" s="329">
        <v>1854</v>
      </c>
      <c r="E11" s="329">
        <v>2075</v>
      </c>
      <c r="F11" s="329">
        <v>2129</v>
      </c>
      <c r="G11" s="329">
        <v>2081</v>
      </c>
      <c r="H11" s="329">
        <v>2207</v>
      </c>
      <c r="I11" s="329">
        <v>1138</v>
      </c>
      <c r="J11" s="329">
        <v>1578</v>
      </c>
      <c r="K11" s="329">
        <v>1843</v>
      </c>
      <c r="L11" s="329">
        <v>1853</v>
      </c>
      <c r="M11" s="344">
        <v>20622</v>
      </c>
      <c r="N11" s="345">
        <v>1874.7272727272725</v>
      </c>
    </row>
    <row r="12" spans="1:14">
      <c r="A12" s="336" t="s">
        <v>253</v>
      </c>
      <c r="B12" s="329">
        <v>2837</v>
      </c>
      <c r="C12" s="329">
        <v>2011</v>
      </c>
      <c r="D12" s="329">
        <v>2394</v>
      </c>
      <c r="E12" s="329">
        <v>2719</v>
      </c>
      <c r="F12" s="329">
        <v>2776</v>
      </c>
      <c r="G12" s="329">
        <v>2355</v>
      </c>
      <c r="H12" s="329">
        <v>2236</v>
      </c>
      <c r="I12" s="329">
        <v>2278</v>
      </c>
      <c r="J12" s="329">
        <v>2698</v>
      </c>
      <c r="K12" s="329">
        <v>2600</v>
      </c>
      <c r="L12" s="329">
        <v>2182</v>
      </c>
      <c r="M12" s="344">
        <v>27086</v>
      </c>
      <c r="N12" s="345">
        <v>2462.3636363636365</v>
      </c>
    </row>
    <row r="13" spans="1:14">
      <c r="A13" s="335" t="s">
        <v>510</v>
      </c>
      <c r="B13" s="329">
        <v>844</v>
      </c>
      <c r="C13" s="329">
        <v>673</v>
      </c>
      <c r="D13" s="329">
        <v>579</v>
      </c>
      <c r="E13" s="329">
        <v>642</v>
      </c>
      <c r="F13" s="329">
        <v>832</v>
      </c>
      <c r="G13" s="329">
        <v>738</v>
      </c>
      <c r="H13" s="329">
        <v>842</v>
      </c>
      <c r="I13" s="329">
        <v>616</v>
      </c>
      <c r="J13" s="329">
        <v>576</v>
      </c>
      <c r="K13" s="329">
        <v>714</v>
      </c>
      <c r="L13" s="329">
        <v>528</v>
      </c>
      <c r="M13" s="344">
        <v>7584</v>
      </c>
      <c r="N13" s="345">
        <v>689.4545454545455</v>
      </c>
    </row>
    <row r="14" spans="1:14">
      <c r="A14" s="335" t="s">
        <v>511</v>
      </c>
      <c r="B14" s="328">
        <v>535</v>
      </c>
      <c r="C14" s="328">
        <v>566</v>
      </c>
      <c r="D14" s="328">
        <v>294</v>
      </c>
      <c r="E14" s="328">
        <v>408</v>
      </c>
      <c r="F14" s="328">
        <v>367</v>
      </c>
      <c r="G14" s="328">
        <v>288</v>
      </c>
      <c r="H14" s="328">
        <v>361</v>
      </c>
      <c r="I14" s="328">
        <v>293</v>
      </c>
      <c r="J14" s="328">
        <v>224</v>
      </c>
      <c r="K14" s="328">
        <v>270</v>
      </c>
      <c r="L14" s="328">
        <v>353</v>
      </c>
      <c r="M14" s="340">
        <v>3959</v>
      </c>
      <c r="N14" s="341">
        <v>359.90909090909088</v>
      </c>
    </row>
    <row r="15" spans="1:14">
      <c r="A15" s="336" t="s">
        <v>669</v>
      </c>
      <c r="B15" s="329">
        <v>15853</v>
      </c>
      <c r="C15" s="329">
        <v>14922</v>
      </c>
      <c r="D15" s="329">
        <v>14935</v>
      </c>
      <c r="E15" s="329">
        <v>13717</v>
      </c>
      <c r="F15" s="329">
        <v>15155</v>
      </c>
      <c r="G15" s="329">
        <v>15215</v>
      </c>
      <c r="H15" s="329">
        <v>14860</v>
      </c>
      <c r="I15" s="329">
        <v>13795</v>
      </c>
      <c r="J15" s="329">
        <v>14483</v>
      </c>
      <c r="K15" s="329">
        <v>14734</v>
      </c>
      <c r="L15" s="329">
        <v>13326</v>
      </c>
      <c r="M15" s="344">
        <v>160995</v>
      </c>
      <c r="N15" s="345">
        <v>14635.90909090909</v>
      </c>
    </row>
    <row r="16" spans="1:14" ht="15" thickBot="1">
      <c r="A16" s="337" t="s">
        <v>670</v>
      </c>
      <c r="B16" s="338">
        <v>186</v>
      </c>
      <c r="C16" s="338">
        <v>194</v>
      </c>
      <c r="D16" s="338">
        <v>171</v>
      </c>
      <c r="E16" s="338">
        <v>202</v>
      </c>
      <c r="F16" s="338">
        <v>183</v>
      </c>
      <c r="G16" s="338">
        <v>183</v>
      </c>
      <c r="H16" s="338">
        <v>196</v>
      </c>
      <c r="I16" s="338">
        <v>189</v>
      </c>
      <c r="J16" s="338">
        <v>199</v>
      </c>
      <c r="K16" s="338">
        <v>181</v>
      </c>
      <c r="L16" s="338">
        <v>174</v>
      </c>
      <c r="M16" s="346">
        <v>2058</v>
      </c>
      <c r="N16" s="347">
        <v>187.09090909090909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7F1E6AD-C357-4AF3-B893-6AA26A5D1B15}">
  <ds:schemaRefs>
    <ds:schemaRef ds:uri="http://schemas.microsoft.com/PowerBIAdd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5</vt:i4>
      </vt:variant>
    </vt:vector>
  </HeadingPairs>
  <TitlesOfParts>
    <vt:vector size="12" baseType="lpstr">
      <vt:lpstr>Sumário</vt:lpstr>
      <vt:lpstr>Sumário Provisório</vt:lpstr>
      <vt:lpstr>Plano_Estatístico_2020_HJB</vt:lpstr>
      <vt:lpstr>% de Ocupação</vt:lpstr>
      <vt:lpstr>% de Ocupação Trimestral</vt:lpstr>
      <vt:lpstr>Média de Permanência</vt:lpstr>
      <vt:lpstr>Resumo_nov.2019</vt:lpstr>
      <vt:lpstr>'% de Ocupação'!Area_de_impressao</vt:lpstr>
      <vt:lpstr>'% de Ocupação Trimestral'!Area_de_impressao</vt:lpstr>
      <vt:lpstr>'Média de Permanência'!Area_de_impressao</vt:lpstr>
      <vt:lpstr>Plano_Estatístico_2020_HJB!Area_de_impressao</vt:lpstr>
      <vt:lpstr>'Sumário Provisório'!Area_de_impressao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Moraes</dc:creator>
  <cp:lastModifiedBy>Rodrigo Moraes</cp:lastModifiedBy>
  <cp:lastPrinted>2021-01-07T19:36:15Z</cp:lastPrinted>
  <dcterms:created xsi:type="dcterms:W3CDTF">2016-11-14T11:47:23Z</dcterms:created>
  <dcterms:modified xsi:type="dcterms:W3CDTF">2021-01-11T12:40:05Z</dcterms:modified>
</cp:coreProperties>
</file>