
<file path=[Content_Types].xml><?xml version="1.0" encoding="utf-8"?>
<Types xmlns="http://schemas.openxmlformats.org/package/2006/content-types">
  <Default Extension="png" ContentType="image/png"/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wdp" ContentType="image/vnd.ms-photo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iagrams/data1.xml" ContentType="application/vnd.openxmlformats-officedocument.drawingml.diagramData+xml"/>
  <Override PartName="/xl/diagrams/layout1.xml" ContentType="application/vnd.openxmlformats-officedocument.drawingml.diagramLayout+xml"/>
  <Override PartName="/xl/diagrams/quickStyle1.xml" ContentType="application/vnd.openxmlformats-officedocument.drawingml.diagramStyle+xml"/>
  <Override PartName="/xl/diagrams/colors1.xml" ContentType="application/vnd.openxmlformats-officedocument.drawingml.diagramColors+xml"/>
  <Override PartName="/xl/diagrams/drawing1.xml" ContentType="application/vnd.ms-office.drawingml.diagramDrawing+xml"/>
  <Override PartName="/xl/drawings/drawing2.xml" ContentType="application/vnd.openxmlformats-officedocument.drawing+xml"/>
  <Override PartName="/xl/comments1.xml" ContentType="application/vnd.openxmlformats-officedocument.spreadsheetml.comments+xml"/>
  <Override PartName="/xl/drawings/drawing3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drawings/drawing4.xml" ContentType="application/vnd.openxmlformats-officedocument.drawing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drawings/drawing5.xml" ContentType="application/vnd.openxmlformats-officedocument.drawing+xml"/>
  <Override PartName="/xl/charts/chart9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730"/>
  <workbookPr codeName="EstaPastaDeTrabalho"/>
  <mc:AlternateContent xmlns:mc="http://schemas.openxmlformats.org/markup-compatibility/2006">
    <mc:Choice Requires="x15">
      <x15ac:absPath xmlns:x15ac="http://schemas.microsoft.com/office/spreadsheetml/2010/11/ac" url="C:\BackUp RODRIGO MORAES\Desktop\12 - DEZEMBRO 2021\"/>
    </mc:Choice>
  </mc:AlternateContent>
  <xr:revisionPtr revIDLastSave="0" documentId="13_ncr:1_{9D8EC81F-024E-49C3-B6A1-4353580D6D70}" xr6:coauthVersionLast="36" xr6:coauthVersionMax="47" xr10:uidLastSave="{00000000-0000-0000-0000-000000000000}"/>
  <bookViews>
    <workbookView xWindow="-120" yWindow="-120" windowWidth="15480" windowHeight="7065" tabRatio="782" firstSheet="2" activeTab="3" xr2:uid="{00000000-000D-0000-FFFF-FFFF00000000}"/>
  </bookViews>
  <sheets>
    <sheet name="Sumário" sheetId="7" state="hidden" r:id="rId1"/>
    <sheet name="Sumário Provisório" sheetId="10" state="hidden" r:id="rId2"/>
    <sheet name="Plano_Estatístico_2021_HJB" sheetId="5" r:id="rId3"/>
    <sheet name="Planilha1" sheetId="14" r:id="rId4"/>
    <sheet name="% de Ocupação" sheetId="8" r:id="rId5"/>
    <sheet name="% de Ocupação Trimestral" sheetId="9" r:id="rId6"/>
    <sheet name="Média de Permanência" sheetId="11" r:id="rId7"/>
    <sheet name="Resumo_nov.2019" sheetId="13" state="hidden" r:id="rId8"/>
  </sheets>
  <definedNames>
    <definedName name="_xlnm._FilterDatabase" localSheetId="2" hidden="1">Plano_Estatístico_2021_HJB!$A$21:$A$41</definedName>
    <definedName name="_xlnm.Print_Area" localSheetId="4">'% de Ocupação'!$A$7:$M$56</definedName>
    <definedName name="_xlnm.Print_Area" localSheetId="5">'% de Ocupação Trimestral'!$A$10:$P$61</definedName>
    <definedName name="_xlnm.Print_Area" localSheetId="6">'Média de Permanência'!$A$7:$M$60</definedName>
    <definedName name="_xlnm.Print_Area" localSheetId="2">Plano_Estatístico_2021_HJB!$A$1:$O$1690</definedName>
    <definedName name="_xlnm.Print_Area" localSheetId="1">'Sumário Provisório'!$A$1:$K$44</definedName>
  </definedNames>
  <calcPr calcId="179021"/>
</workbook>
</file>

<file path=xl/calcChain.xml><?xml version="1.0" encoding="utf-8"?>
<calcChain xmlns="http://schemas.openxmlformats.org/spreadsheetml/2006/main">
  <c r="M1276" i="5" l="1"/>
  <c r="M1277" i="5" s="1"/>
  <c r="M902" i="5" l="1"/>
  <c r="M900" i="5"/>
  <c r="M899" i="5"/>
  <c r="M903" i="5" s="1"/>
  <c r="M894" i="5"/>
  <c r="M895" i="5" s="1"/>
  <c r="M887" i="5"/>
  <c r="M888" i="5" s="1"/>
  <c r="M528" i="5"/>
  <c r="M519" i="5"/>
  <c r="M514" i="5"/>
  <c r="M509" i="5"/>
  <c r="M500" i="5"/>
  <c r="M487" i="5"/>
  <c r="M482" i="5"/>
  <c r="M475" i="5"/>
  <c r="M477" i="5" s="1"/>
  <c r="M471" i="5"/>
  <c r="M464" i="5"/>
  <c r="M456" i="5"/>
  <c r="M457" i="5" s="1"/>
  <c r="M444" i="5"/>
  <c r="M426" i="5"/>
  <c r="M409" i="5"/>
  <c r="M410" i="5" s="1"/>
  <c r="M393" i="5"/>
  <c r="M388" i="5"/>
  <c r="M386" i="5"/>
  <c r="M382" i="5"/>
  <c r="M384" i="5" s="1"/>
  <c r="M1470" i="5"/>
  <c r="M1471" i="5" s="1"/>
  <c r="M1463" i="5"/>
  <c r="M1464" i="5" s="1"/>
  <c r="M1458" i="5"/>
  <c r="M1459" i="5" s="1"/>
  <c r="M1448" i="5"/>
  <c r="M1449" i="5" s="1"/>
  <c r="M639" i="5"/>
  <c r="M638" i="5"/>
  <c r="M640" i="5" s="1"/>
  <c r="M634" i="5"/>
  <c r="M635" i="5" s="1"/>
  <c r="M636" i="5" s="1"/>
  <c r="M631" i="5"/>
  <c r="M630" i="5"/>
  <c r="M627" i="5"/>
  <c r="M621" i="5"/>
  <c r="M623" i="5" s="1"/>
  <c r="M624" i="5" s="1"/>
  <c r="M904" i="5" l="1"/>
  <c r="M1293" i="5" l="1"/>
  <c r="M1296" i="5" s="1"/>
  <c r="M1297" i="5" s="1"/>
  <c r="M1286" i="5"/>
  <c r="M1287" i="5" s="1"/>
  <c r="M1273" i="5"/>
  <c r="M1274" i="5" s="1"/>
  <c r="M1266" i="5"/>
  <c r="M1267" i="5" s="1"/>
  <c r="M1038" i="5"/>
  <c r="M1030" i="5"/>
  <c r="M1031" i="5" s="1"/>
  <c r="M1027" i="5"/>
  <c r="M963" i="5" s="1"/>
  <c r="M1020" i="5"/>
  <c r="M956" i="5" s="1"/>
  <c r="M1019" i="5"/>
  <c r="M955" i="5" s="1"/>
  <c r="M1022" i="5"/>
  <c r="M1013" i="5"/>
  <c r="M949" i="5" s="1"/>
  <c r="M1012" i="5"/>
  <c r="M948" i="5" s="1"/>
  <c r="M1002" i="5"/>
  <c r="M1003" i="5" s="1"/>
  <c r="M994" i="5"/>
  <c r="M995" i="5" s="1"/>
  <c r="M942" i="5"/>
  <c r="M943" i="5"/>
  <c r="M944" i="5"/>
  <c r="M945" i="5"/>
  <c r="M946" i="5"/>
  <c r="M947" i="5"/>
  <c r="M950" i="5"/>
  <c r="M951" i="5"/>
  <c r="M952" i="5"/>
  <c r="M953" i="5"/>
  <c r="M954" i="5"/>
  <c r="M957" i="5"/>
  <c r="M958" i="5"/>
  <c r="M959" i="5"/>
  <c r="M960" i="5"/>
  <c r="M961" i="5"/>
  <c r="M962" i="5"/>
  <c r="M964" i="5"/>
  <c r="M965" i="5"/>
  <c r="M1490" i="5"/>
  <c r="M1489" i="5"/>
  <c r="M1485" i="5"/>
  <c r="M1486" i="5" s="1"/>
  <c r="M1294" i="5" l="1"/>
  <c r="M1034" i="5"/>
  <c r="M1035" i="5" s="1"/>
  <c r="M1036" i="5" s="1"/>
  <c r="M1039" i="5"/>
  <c r="M1040" i="5" s="1"/>
  <c r="M966" i="5"/>
  <c r="M967" i="5" s="1"/>
  <c r="M1506" i="5"/>
  <c r="M1507" i="5" s="1"/>
  <c r="M1498" i="5"/>
  <c r="M1499" i="5" s="1"/>
  <c r="M1579" i="5" l="1"/>
  <c r="M1523" i="5"/>
  <c r="M1524" i="5" s="1"/>
  <c r="M1522" i="5"/>
  <c r="M1659" i="5" l="1"/>
  <c r="M1658" i="5"/>
  <c r="M1657" i="5"/>
  <c r="M1656" i="5"/>
  <c r="M1655" i="5"/>
  <c r="M1654" i="5"/>
  <c r="M1653" i="5"/>
  <c r="M1650" i="5"/>
  <c r="M1636" i="5"/>
  <c r="M1624" i="5"/>
  <c r="M1625" i="5" s="1"/>
  <c r="M1621" i="5"/>
  <c r="M1674" i="5"/>
  <c r="M1673" i="5"/>
  <c r="M1672" i="5"/>
  <c r="M1671" i="5"/>
  <c r="M1668" i="5"/>
  <c r="M1667" i="5"/>
  <c r="M1666" i="5"/>
  <c r="M1665" i="5"/>
  <c r="M1664" i="5"/>
  <c r="M916" i="5" l="1"/>
  <c r="M920" i="5" s="1"/>
  <c r="M1412" i="5" s="1"/>
  <c r="M911" i="5"/>
  <c r="M919" i="5" s="1"/>
  <c r="M1256" i="5"/>
  <c r="M1253" i="5"/>
  <c r="M1257" i="5" s="1"/>
  <c r="M1418" i="5" s="1"/>
  <c r="M1236" i="5"/>
  <c r="M1242" i="5"/>
  <c r="M1243" i="5" s="1"/>
  <c r="M1235" i="5"/>
  <c r="M1224" i="5"/>
  <c r="M1211" i="5"/>
  <c r="M1208" i="5"/>
  <c r="M1212" i="5" s="1"/>
  <c r="M1417" i="5" s="1"/>
  <c r="M1184" i="5"/>
  <c r="M1190" i="5" s="1"/>
  <c r="M1191" i="5" s="1"/>
  <c r="M1197" i="5"/>
  <c r="M1198" i="5" s="1"/>
  <c r="M1172" i="5"/>
  <c r="M1174" i="5"/>
  <c r="M1175" i="5"/>
  <c r="M1176" i="5"/>
  <c r="M1177" i="5"/>
  <c r="M1178" i="5"/>
  <c r="M1163" i="5"/>
  <c r="M1164" i="5" s="1"/>
  <c r="M1166" i="5"/>
  <c r="M1167" i="5"/>
  <c r="M1168" i="5" s="1"/>
  <c r="M1130" i="5"/>
  <c r="M1136" i="5"/>
  <c r="M1118" i="5" s="1"/>
  <c r="M1132" i="5"/>
  <c r="M1124" i="5"/>
  <c r="M1106" i="5" s="1"/>
  <c r="M1112" i="5"/>
  <c r="M1145" i="5"/>
  <c r="M1146" i="5" s="1"/>
  <c r="M1107" i="5"/>
  <c r="M1108" i="5"/>
  <c r="M1109" i="5"/>
  <c r="M1110" i="5"/>
  <c r="M1111" i="5"/>
  <c r="M1113" i="5"/>
  <c r="M1115" i="5"/>
  <c r="M1116" i="5"/>
  <c r="M1117" i="5"/>
  <c r="M1096" i="5"/>
  <c r="M1097" i="5"/>
  <c r="M1101" i="5" s="1"/>
  <c r="M1415" i="5" s="1"/>
  <c r="M1100" i="5"/>
  <c r="M1102" i="5" s="1"/>
  <c r="M1068" i="5"/>
  <c r="M1060" i="5"/>
  <c r="M1045" i="5" s="1"/>
  <c r="M1053" i="5"/>
  <c r="M1092" i="5"/>
  <c r="M1093" i="5" s="1"/>
  <c r="M1077" i="5"/>
  <c r="M1078" i="5" s="1"/>
  <c r="M1044" i="5"/>
  <c r="M1046" i="5"/>
  <c r="M1047" i="5"/>
  <c r="M1048" i="5"/>
  <c r="M1049" i="5"/>
  <c r="M1050" i="5"/>
  <c r="M1051" i="5"/>
  <c r="M1052" i="5"/>
  <c r="M1054" i="5"/>
  <c r="M694" i="5"/>
  <c r="M693" i="5"/>
  <c r="M695" i="5" s="1"/>
  <c r="M691" i="5"/>
  <c r="M690" i="5"/>
  <c r="M685" i="5"/>
  <c r="M686" i="5" s="1"/>
  <c r="M586" i="5"/>
  <c r="M590" i="5" s="1"/>
  <c r="M581" i="5"/>
  <c r="M582" i="5" s="1"/>
  <c r="M573" i="5"/>
  <c r="M574" i="5" s="1"/>
  <c r="M928" i="5"/>
  <c r="M933" i="5"/>
  <c r="M934" i="5" s="1"/>
  <c r="M936" i="5"/>
  <c r="M1392" i="5" s="1"/>
  <c r="M864" i="5"/>
  <c r="M872" i="5" s="1"/>
  <c r="M1389" i="5" s="1"/>
  <c r="M869" i="5"/>
  <c r="M870" i="5"/>
  <c r="M873" i="5"/>
  <c r="M1410" i="5" s="1"/>
  <c r="M847" i="5"/>
  <c r="M852" i="5"/>
  <c r="M853" i="5" s="1"/>
  <c r="M855" i="5"/>
  <c r="M839" i="5"/>
  <c r="M840" i="5" s="1"/>
  <c r="M827" i="5"/>
  <c r="M828" i="5" s="1"/>
  <c r="M822" i="5"/>
  <c r="M823" i="5" s="1"/>
  <c r="M814" i="5"/>
  <c r="M815" i="5" s="1"/>
  <c r="M813" i="5"/>
  <c r="M794" i="5"/>
  <c r="M795" i="5" s="1"/>
  <c r="M799" i="5"/>
  <c r="M803" i="5" s="1"/>
  <c r="M1409" i="5" s="1"/>
  <c r="M777" i="5"/>
  <c r="M778" i="5" s="1"/>
  <c r="M786" i="5"/>
  <c r="M1408" i="5" s="1"/>
  <c r="M783" i="5"/>
  <c r="M782" i="5"/>
  <c r="M769" i="5"/>
  <c r="M1407" i="5" s="1"/>
  <c r="M765" i="5"/>
  <c r="M760" i="5"/>
  <c r="M761" i="5" s="1"/>
  <c r="M753" i="5"/>
  <c r="M737" i="5"/>
  <c r="M745" i="5" s="1"/>
  <c r="M742" i="5"/>
  <c r="M746" i="5" s="1"/>
  <c r="M1405" i="5" s="1"/>
  <c r="M708" i="5"/>
  <c r="M712" i="5" s="1"/>
  <c r="M1403" i="5" s="1"/>
  <c r="M703" i="5"/>
  <c r="M711" i="5" s="1"/>
  <c r="M726" i="5"/>
  <c r="M725" i="5"/>
  <c r="M729" i="5" s="1"/>
  <c r="M1404" i="5" s="1"/>
  <c r="M720" i="5"/>
  <c r="M728" i="5" s="1"/>
  <c r="M1428" i="5"/>
  <c r="M1427" i="5"/>
  <c r="M1414" i="5"/>
  <c r="M1411" i="5"/>
  <c r="M1402" i="5"/>
  <c r="M1397" i="5"/>
  <c r="M1395" i="5"/>
  <c r="M1393" i="5"/>
  <c r="M1390" i="5"/>
  <c r="M1369" i="5" s="1"/>
  <c r="M1381" i="5"/>
  <c r="M1360" i="5" s="1"/>
  <c r="M1352" i="5"/>
  <c r="M1351" i="5"/>
  <c r="M1355" i="5" s="1"/>
  <c r="M1432" i="5" s="1"/>
  <c r="M1346" i="5"/>
  <c r="M1354" i="5" s="1"/>
  <c r="M1356" i="5" s="1"/>
  <c r="M1334" i="5"/>
  <c r="M1338" i="5" s="1"/>
  <c r="M1329" i="5"/>
  <c r="M1337" i="5" s="1"/>
  <c r="M1321" i="5"/>
  <c r="M1322" i="5" s="1"/>
  <c r="M651" i="5"/>
  <c r="M654" i="5" s="1"/>
  <c r="M643" i="5"/>
  <c r="M647" i="5" s="1"/>
  <c r="M648" i="5" s="1"/>
  <c r="M617" i="5"/>
  <c r="M612" i="5"/>
  <c r="M613" i="5" s="1"/>
  <c r="M614" i="5" s="1"/>
  <c r="M608" i="5"/>
  <c r="M609" i="5" s="1"/>
  <c r="M599" i="5"/>
  <c r="M600" i="5" s="1"/>
  <c r="M594" i="5"/>
  <c r="H647" i="5"/>
  <c r="H648" i="5" s="1"/>
  <c r="H643" i="5"/>
  <c r="M1372" i="5" l="1"/>
  <c r="M921" i="5"/>
  <c r="M1391" i="5"/>
  <c r="M1370" i="5" s="1"/>
  <c r="M917" i="5"/>
  <c r="M1258" i="5"/>
  <c r="M1376" i="5"/>
  <c r="M1209" i="5"/>
  <c r="M1213" i="5"/>
  <c r="M1396" i="5"/>
  <c r="M1375" i="5" s="1"/>
  <c r="M1173" i="5"/>
  <c r="M1179" i="5"/>
  <c r="M1180" i="5" s="1"/>
  <c r="M1416" i="5"/>
  <c r="M1374" i="5" s="1"/>
  <c r="M1138" i="5"/>
  <c r="M1139" i="5" s="1"/>
  <c r="M1114" i="5"/>
  <c r="M1120" i="5" s="1"/>
  <c r="M1121" i="5" s="1"/>
  <c r="M1098" i="5"/>
  <c r="M1394" i="5"/>
  <c r="M1070" i="5"/>
  <c r="M1071" i="5" s="1"/>
  <c r="M1055" i="5"/>
  <c r="M1056" i="5" s="1"/>
  <c r="M655" i="5"/>
  <c r="M662" i="5"/>
  <c r="M616" i="5"/>
  <c r="M618" i="5" s="1"/>
  <c r="M1339" i="5"/>
  <c r="M1431" i="5" s="1"/>
  <c r="M1373" i="5"/>
  <c r="M1430" i="5"/>
  <c r="M658" i="5"/>
  <c r="M659" i="5" s="1"/>
  <c r="M660" i="5" s="1"/>
  <c r="M831" i="5"/>
  <c r="M1335" i="5"/>
  <c r="M768" i="5"/>
  <c r="M785" i="5"/>
  <c r="M787" i="5" s="1"/>
  <c r="M800" i="5"/>
  <c r="M830" i="5"/>
  <c r="M589" i="5"/>
  <c r="M591" i="5" s="1"/>
  <c r="M587" i="5"/>
  <c r="M937" i="5"/>
  <c r="M1413" i="5" s="1"/>
  <c r="M1371" i="5"/>
  <c r="M938" i="5"/>
  <c r="M1368" i="5"/>
  <c r="M874" i="5"/>
  <c r="M856" i="5"/>
  <c r="M1406" i="5" s="1"/>
  <c r="M1419" i="5" s="1"/>
  <c r="M1422" i="5" s="1"/>
  <c r="M802" i="5"/>
  <c r="M1387" i="5"/>
  <c r="M1366" i="5" s="1"/>
  <c r="M738" i="5"/>
  <c r="M747" i="5"/>
  <c r="M1384" i="5"/>
  <c r="M1363" i="5" s="1"/>
  <c r="M713" i="5"/>
  <c r="M1382" i="5"/>
  <c r="M1361" i="5" s="1"/>
  <c r="M730" i="5"/>
  <c r="M1383" i="5"/>
  <c r="M1362" i="5" s="1"/>
  <c r="M663" i="5"/>
  <c r="M664" i="5"/>
  <c r="M564" i="5"/>
  <c r="M565" i="5" s="1"/>
  <c r="M559" i="5"/>
  <c r="M560" i="5" s="1"/>
  <c r="M552" i="5"/>
  <c r="M553" i="5" s="1"/>
  <c r="M1119" i="5" l="1"/>
  <c r="M857" i="5"/>
  <c r="M770" i="5"/>
  <c r="M1386" i="5"/>
  <c r="M1365" i="5" s="1"/>
  <c r="M1385" i="5"/>
  <c r="M1364" i="5" s="1"/>
  <c r="M832" i="5"/>
  <c r="M804" i="5"/>
  <c r="M1388" i="5"/>
  <c r="M533" i="5"/>
  <c r="M532" i="5"/>
  <c r="M534" i="5" s="1"/>
  <c r="M535" i="5" s="1"/>
  <c r="M1305" i="5"/>
  <c r="M1312" i="5" s="1"/>
  <c r="M281" i="5"/>
  <c r="M371" i="5" s="1"/>
  <c r="M370" i="5"/>
  <c r="M366" i="5"/>
  <c r="M365" i="5"/>
  <c r="M364" i="5"/>
  <c r="M360" i="5"/>
  <c r="M359" i="5"/>
  <c r="M358" i="5"/>
  <c r="M352" i="5"/>
  <c r="M351" i="5"/>
  <c r="M350" i="5"/>
  <c r="M338" i="5"/>
  <c r="M339" i="5" s="1"/>
  <c r="M332" i="5"/>
  <c r="M309" i="5"/>
  <c r="M303" i="5"/>
  <c r="M297" i="5"/>
  <c r="M287" i="5"/>
  <c r="M269" i="5"/>
  <c r="M275" i="5"/>
  <c r="M246" i="5"/>
  <c r="M240" i="5"/>
  <c r="M217" i="5"/>
  <c r="M206" i="5"/>
  <c r="N98" i="5"/>
  <c r="O98" i="5" s="1"/>
  <c r="M84" i="5"/>
  <c r="M85" i="5" s="1"/>
  <c r="M78" i="5"/>
  <c r="M53" i="5"/>
  <c r="M52" i="5"/>
  <c r="M51" i="5"/>
  <c r="M48" i="5"/>
  <c r="M353" i="5" s="1"/>
  <c r="M355" i="5" s="1"/>
  <c r="M42" i="5"/>
  <c r="M30" i="5"/>
  <c r="M17" i="5"/>
  <c r="M344" i="5" s="1"/>
  <c r="M16" i="5"/>
  <c r="M343" i="5" s="1"/>
  <c r="M15" i="5"/>
  <c r="M18" i="5" s="1"/>
  <c r="M345" i="5" s="1"/>
  <c r="M12" i="5"/>
  <c r="M361" i="5" s="1"/>
  <c r="M54" i="5" l="1"/>
  <c r="M342" i="5"/>
  <c r="M347" i="5"/>
  <c r="M367" i="5"/>
  <c r="M373" i="5" s="1"/>
  <c r="M1313" i="5"/>
  <c r="M1429" i="5"/>
  <c r="M1433" i="5" s="1"/>
  <c r="M1398" i="5"/>
  <c r="M1421" i="5" s="1"/>
  <c r="M1423" i="5" s="1"/>
  <c r="M1367" i="5"/>
  <c r="M1377" i="5" s="1"/>
  <c r="M1306" i="5"/>
  <c r="L1636" i="5"/>
  <c r="L1624" i="5"/>
  <c r="L1621" i="5"/>
  <c r="L1625" i="5" l="1"/>
  <c r="L1138" i="5"/>
  <c r="L1077" i="5"/>
  <c r="L1078" i="5" s="1"/>
  <c r="L1070" i="5"/>
  <c r="L1071" i="5" s="1"/>
  <c r="L1027" i="5" l="1"/>
  <c r="L1024" i="5"/>
  <c r="L1028" i="5"/>
  <c r="L1020" i="5"/>
  <c r="L1019" i="5"/>
  <c r="L1022" i="5"/>
  <c r="L1013" i="5"/>
  <c r="L991" i="5"/>
  <c r="L985" i="5"/>
  <c r="L971" i="5"/>
  <c r="L1470" i="5"/>
  <c r="L1471" i="5" s="1"/>
  <c r="L1463" i="5"/>
  <c r="L1464" i="5" s="1"/>
  <c r="L1458" i="5"/>
  <c r="L1459" i="5" s="1"/>
  <c r="L1448" i="5"/>
  <c r="L1449" i="5" s="1"/>
  <c r="L1030" i="5"/>
  <c r="L1031" i="5" s="1"/>
  <c r="L1002" i="5"/>
  <c r="L1003" i="5" s="1"/>
  <c r="L1054" i="5"/>
  <c r="L1053" i="5"/>
  <c r="L1052" i="5"/>
  <c r="L1051" i="5"/>
  <c r="L1050" i="5"/>
  <c r="L1049" i="5"/>
  <c r="L1048" i="5"/>
  <c r="L1047" i="5"/>
  <c r="L1046" i="5"/>
  <c r="L1045" i="5"/>
  <c r="L1044" i="5"/>
  <c r="L627" i="5"/>
  <c r="L621" i="5"/>
  <c r="L634" i="5" s="1"/>
  <c r="L1055" i="5" l="1"/>
  <c r="L1056" i="5" s="1"/>
  <c r="L1034" i="5"/>
  <c r="L1035" i="5" s="1"/>
  <c r="L1036" i="5" s="1"/>
  <c r="L1039" i="5"/>
  <c r="L994" i="5"/>
  <c r="L995" i="5" s="1"/>
  <c r="L1038" i="5"/>
  <c r="L1485" i="5"/>
  <c r="L1490" i="5" s="1"/>
  <c r="L1040" i="5" l="1"/>
  <c r="L1486" i="5"/>
  <c r="L1489" i="5"/>
  <c r="L1163" i="5" l="1"/>
  <c r="L1164" i="5" s="1"/>
  <c r="L1145" i="5"/>
  <c r="L1146" i="5" s="1"/>
  <c r="L1139" i="5"/>
  <c r="L1106" i="5"/>
  <c r="L1107" i="5"/>
  <c r="L1108" i="5"/>
  <c r="L1109" i="5"/>
  <c r="L1110" i="5"/>
  <c r="L1111" i="5"/>
  <c r="L1112" i="5"/>
  <c r="L1113" i="5"/>
  <c r="L1114" i="5"/>
  <c r="L1115" i="5"/>
  <c r="L1116" i="5"/>
  <c r="L1117" i="5"/>
  <c r="L1118" i="5"/>
  <c r="L1092" i="5"/>
  <c r="L1093" i="5" s="1"/>
  <c r="L1579" i="5"/>
  <c r="L1523" i="5"/>
  <c r="L1524" i="5" s="1"/>
  <c r="L1506" i="5"/>
  <c r="L1507" i="5" s="1"/>
  <c r="L1498" i="5"/>
  <c r="L1499" i="5" s="1"/>
  <c r="L1166" i="5" l="1"/>
  <c r="L1120" i="5"/>
  <c r="L1121" i="5" s="1"/>
  <c r="L1119" i="5"/>
  <c r="L1167" i="5"/>
  <c r="L1096" i="5"/>
  <c r="L1097" i="5" s="1"/>
  <c r="L1101" i="5" s="1"/>
  <c r="L1168" i="5" l="1"/>
  <c r="L1098" i="5"/>
  <c r="L765" i="5" l="1"/>
  <c r="L760" i="5"/>
  <c r="L761" i="5" s="1"/>
  <c r="L1650" i="5"/>
  <c r="L1655" i="5"/>
  <c r="L1656" i="5"/>
  <c r="L1657" i="5"/>
  <c r="L1658" i="5"/>
  <c r="L1659" i="5"/>
  <c r="L1673" i="5"/>
  <c r="L1674" i="5"/>
  <c r="L1293" i="5"/>
  <c r="L1286" i="5"/>
  <c r="L1287" i="5" s="1"/>
  <c r="L1273" i="5"/>
  <c r="L1276" i="5" s="1"/>
  <c r="L1277" i="5" s="1"/>
  <c r="L1266" i="5"/>
  <c r="L1267" i="5" s="1"/>
  <c r="L690" i="5"/>
  <c r="L694" i="5" s="1"/>
  <c r="L685" i="5"/>
  <c r="L686" i="5" s="1"/>
  <c r="L1253" i="5"/>
  <c r="L1257" i="5" s="1"/>
  <c r="L1242" i="5"/>
  <c r="L1256" i="5" s="1"/>
  <c r="L1235" i="5"/>
  <c r="L1224" i="5"/>
  <c r="L1185" i="5"/>
  <c r="L1186" i="5"/>
  <c r="L1175" i="5" s="1"/>
  <c r="L1188" i="5"/>
  <c r="L1184" i="5"/>
  <c r="L1173" i="5" s="1"/>
  <c r="L1183" i="5"/>
  <c r="L1172" i="5" s="1"/>
  <c r="L1195" i="5"/>
  <c r="L1194" i="5"/>
  <c r="L1208" i="5"/>
  <c r="L1209" i="5" s="1"/>
  <c r="L1174" i="5"/>
  <c r="L1176" i="5"/>
  <c r="L1177" i="5"/>
  <c r="L1178" i="5"/>
  <c r="L933" i="5"/>
  <c r="L937" i="5" s="1"/>
  <c r="L928" i="5"/>
  <c r="L936" i="5" s="1"/>
  <c r="L916" i="5"/>
  <c r="L920" i="5" s="1"/>
  <c r="L911" i="5"/>
  <c r="L919" i="5" s="1"/>
  <c r="L873" i="5"/>
  <c r="L869" i="5"/>
  <c r="L870" i="5" s="1"/>
  <c r="L864" i="5"/>
  <c r="L872" i="5" s="1"/>
  <c r="L1351" i="5"/>
  <c r="L1355" i="5" s="1"/>
  <c r="L1346" i="5"/>
  <c r="L1354" i="5" s="1"/>
  <c r="L1329" i="5"/>
  <c r="L1334" i="5"/>
  <c r="L1337" i="5"/>
  <c r="L528" i="5"/>
  <c r="L514" i="5"/>
  <c r="L519" i="5" s="1"/>
  <c r="L509" i="5"/>
  <c r="L500" i="5"/>
  <c r="L487" i="5"/>
  <c r="L482" i="5"/>
  <c r="L471" i="5"/>
  <c r="L475" i="5" s="1"/>
  <c r="L477" i="5" s="1"/>
  <c r="L464" i="5"/>
  <c r="L456" i="5"/>
  <c r="L457" i="5" s="1"/>
  <c r="L444" i="5"/>
  <c r="L426" i="5"/>
  <c r="L409" i="5"/>
  <c r="L410" i="5" s="1"/>
  <c r="L393" i="5"/>
  <c r="L382" i="5"/>
  <c r="L386" i="5" s="1"/>
  <c r="L1352" i="5" l="1"/>
  <c r="L1356" i="5"/>
  <c r="L917" i="5"/>
  <c r="L693" i="5"/>
  <c r="L695" i="5" s="1"/>
  <c r="L1296" i="5"/>
  <c r="L1297" i="5" s="1"/>
  <c r="L691" i="5"/>
  <c r="L1294" i="5"/>
  <c r="L1274" i="5"/>
  <c r="L1258" i="5"/>
  <c r="L1190" i="5"/>
  <c r="L1191" i="5" s="1"/>
  <c r="L1197" i="5"/>
  <c r="L1198" i="5" s="1"/>
  <c r="L1211" i="5"/>
  <c r="L1179" i="5"/>
  <c r="L1180" i="5" s="1"/>
  <c r="L1212" i="5"/>
  <c r="L934" i="5"/>
  <c r="L938" i="5"/>
  <c r="L921" i="5"/>
  <c r="L874" i="5"/>
  <c r="L1338" i="5"/>
  <c r="L1339" i="5" s="1"/>
  <c r="L1335" i="5"/>
  <c r="L384" i="5"/>
  <c r="L388" i="5" l="1"/>
  <c r="L1671" i="5"/>
  <c r="L1213" i="5"/>
  <c r="L1432" i="5" l="1"/>
  <c r="L1431" i="5"/>
  <c r="L1428" i="5"/>
  <c r="L1427" i="5"/>
  <c r="L1418" i="5"/>
  <c r="L1417" i="5"/>
  <c r="L1416" i="5"/>
  <c r="L1415" i="5"/>
  <c r="L1414" i="5"/>
  <c r="L1413" i="5"/>
  <c r="L1412" i="5"/>
  <c r="L1410" i="5"/>
  <c r="L1402" i="5"/>
  <c r="L1397" i="5"/>
  <c r="L1376" i="5" s="1"/>
  <c r="L1396" i="5"/>
  <c r="L1395" i="5"/>
  <c r="L1393" i="5"/>
  <c r="L1392" i="5"/>
  <c r="L1391" i="5"/>
  <c r="L1370" i="5" s="1"/>
  <c r="L1389" i="5"/>
  <c r="L1381" i="5"/>
  <c r="L1360" i="5" s="1"/>
  <c r="L1321" i="5"/>
  <c r="L1322" i="5" s="1"/>
  <c r="L1305" i="5"/>
  <c r="L1306" i="5" s="1"/>
  <c r="L965" i="5"/>
  <c r="L964" i="5"/>
  <c r="L963" i="5"/>
  <c r="L962" i="5"/>
  <c r="L961" i="5"/>
  <c r="L960" i="5"/>
  <c r="L959" i="5"/>
  <c r="L958" i="5"/>
  <c r="L957" i="5"/>
  <c r="L956" i="5"/>
  <c r="L955" i="5"/>
  <c r="L954" i="5"/>
  <c r="L953" i="5"/>
  <c r="L952" i="5"/>
  <c r="L951" i="5"/>
  <c r="L950" i="5"/>
  <c r="L949" i="5"/>
  <c r="L948" i="5"/>
  <c r="L947" i="5"/>
  <c r="L946" i="5"/>
  <c r="L945" i="5"/>
  <c r="L944" i="5"/>
  <c r="L943" i="5"/>
  <c r="L942" i="5"/>
  <c r="L899" i="5"/>
  <c r="L903" i="5" s="1"/>
  <c r="L1411" i="5" s="1"/>
  <c r="L894" i="5"/>
  <c r="L895" i="5" s="1"/>
  <c r="L887" i="5"/>
  <c r="L888" i="5" s="1"/>
  <c r="L852" i="5"/>
  <c r="L856" i="5" s="1"/>
  <c r="L847" i="5"/>
  <c r="L855" i="5" s="1"/>
  <c r="L839" i="5"/>
  <c r="L840" i="5" s="1"/>
  <c r="L822" i="5"/>
  <c r="L823" i="5" s="1"/>
  <c r="L827" i="5"/>
  <c r="L831" i="5" s="1"/>
  <c r="L1406" i="5" s="1"/>
  <c r="L814" i="5"/>
  <c r="L815" i="5" s="1"/>
  <c r="L794" i="5"/>
  <c r="L795" i="5" s="1"/>
  <c r="L768" i="5"/>
  <c r="L1386" i="5" s="1"/>
  <c r="L769" i="5"/>
  <c r="L1407" i="5" s="1"/>
  <c r="L799" i="5"/>
  <c r="L803" i="5" s="1"/>
  <c r="L1409" i="5" s="1"/>
  <c r="L782" i="5"/>
  <c r="L783" i="5" s="1"/>
  <c r="L777" i="5"/>
  <c r="L778" i="5" s="1"/>
  <c r="L753" i="5"/>
  <c r="L742" i="5"/>
  <c r="L746" i="5" s="1"/>
  <c r="L1405" i="5" s="1"/>
  <c r="L737" i="5"/>
  <c r="L738" i="5" s="1"/>
  <c r="L725" i="5"/>
  <c r="L729" i="5" s="1"/>
  <c r="L1404" i="5" s="1"/>
  <c r="L720" i="5"/>
  <c r="L728" i="5" s="1"/>
  <c r="L1383" i="5" s="1"/>
  <c r="L708" i="5"/>
  <c r="L712" i="5" s="1"/>
  <c r="L1403" i="5" s="1"/>
  <c r="L703" i="5"/>
  <c r="L711" i="5" s="1"/>
  <c r="L713" i="5" s="1"/>
  <c r="L785" i="5" l="1"/>
  <c r="L1387" i="5" s="1"/>
  <c r="L1371" i="5"/>
  <c r="L1375" i="5"/>
  <c r="L1312" i="5"/>
  <c r="L1430" i="5"/>
  <c r="L1362" i="5"/>
  <c r="L1382" i="5"/>
  <c r="L1361" i="5" s="1"/>
  <c r="L830" i="5"/>
  <c r="L1385" i="5" s="1"/>
  <c r="L1364" i="5" s="1"/>
  <c r="L902" i="5"/>
  <c r="L1390" i="5" s="1"/>
  <c r="L1369" i="5" s="1"/>
  <c r="L1372" i="5"/>
  <c r="L966" i="5"/>
  <c r="L967" i="5" s="1"/>
  <c r="L1374" i="5"/>
  <c r="L1365" i="5"/>
  <c r="L770" i="5"/>
  <c r="L1368" i="5"/>
  <c r="L786" i="5"/>
  <c r="L900" i="5"/>
  <c r="L857" i="5"/>
  <c r="L853" i="5"/>
  <c r="L828" i="5"/>
  <c r="L802" i="5"/>
  <c r="L800" i="5"/>
  <c r="L745" i="5"/>
  <c r="L730" i="5"/>
  <c r="L726" i="5"/>
  <c r="L651" i="5"/>
  <c r="L654" i="5" s="1"/>
  <c r="L662" i="5" s="1"/>
  <c r="L643" i="5"/>
  <c r="L647" i="5" s="1"/>
  <c r="L648" i="5" s="1"/>
  <c r="L635" i="5"/>
  <c r="L639" i="5" s="1"/>
  <c r="L630" i="5"/>
  <c r="L631" i="5" s="1"/>
  <c r="L623" i="5"/>
  <c r="L624" i="5" s="1"/>
  <c r="L612" i="5"/>
  <c r="L613" i="5" s="1"/>
  <c r="L614" i="5" s="1"/>
  <c r="L608" i="5"/>
  <c r="L609" i="5" s="1"/>
  <c r="L594" i="5"/>
  <c r="L599" i="5" s="1"/>
  <c r="L600" i="5" s="1"/>
  <c r="L586" i="5"/>
  <c r="L590" i="5" s="1"/>
  <c r="L581" i="5"/>
  <c r="L582" i="5" s="1"/>
  <c r="L573" i="5"/>
  <c r="L574" i="5" s="1"/>
  <c r="L542" i="5"/>
  <c r="L552" i="5" s="1"/>
  <c r="L553" i="5" s="1"/>
  <c r="L564" i="5"/>
  <c r="L565" i="5" s="1"/>
  <c r="L559" i="5"/>
  <c r="L366" i="5"/>
  <c r="L365" i="5"/>
  <c r="L364" i="5"/>
  <c r="L360" i="5"/>
  <c r="L359" i="5"/>
  <c r="L358" i="5"/>
  <c r="L352" i="5"/>
  <c r="L351" i="5"/>
  <c r="L350" i="5"/>
  <c r="L338" i="5"/>
  <c r="L339" i="5" s="1"/>
  <c r="L332" i="5"/>
  <c r="L309" i="5"/>
  <c r="L303" i="5"/>
  <c r="L297" i="5"/>
  <c r="L287" i="5"/>
  <c r="L275" i="5"/>
  <c r="L371" i="5" s="1"/>
  <c r="L269" i="5"/>
  <c r="L370" i="5" l="1"/>
  <c r="L616" i="5"/>
  <c r="L832" i="5"/>
  <c r="L904" i="5"/>
  <c r="L589" i="5"/>
  <c r="L804" i="5"/>
  <c r="L1388" i="5"/>
  <c r="L1367" i="5" s="1"/>
  <c r="L1313" i="5"/>
  <c r="L1429" i="5"/>
  <c r="L1433" i="5" s="1"/>
  <c r="L367" i="5"/>
  <c r="L373" i="5" s="1"/>
  <c r="L1668" i="5" s="1"/>
  <c r="L617" i="5"/>
  <c r="L618" i="5" s="1"/>
  <c r="L658" i="5"/>
  <c r="L659" i="5" s="1"/>
  <c r="L587" i="5"/>
  <c r="L747" i="5"/>
  <c r="L1384" i="5"/>
  <c r="L1363" i="5" s="1"/>
  <c r="L636" i="5"/>
  <c r="L638" i="5"/>
  <c r="L787" i="5"/>
  <c r="L1408" i="5"/>
  <c r="L655" i="5"/>
  <c r="L640" i="5"/>
  <c r="L591" i="5"/>
  <c r="L532" i="5"/>
  <c r="L560" i="5"/>
  <c r="L533" i="5"/>
  <c r="L243" i="5"/>
  <c r="L246" i="5" s="1"/>
  <c r="L240" i="5"/>
  <c r="L217" i="5"/>
  <c r="L206" i="5"/>
  <c r="N154" i="5"/>
  <c r="O154" i="5" s="1"/>
  <c r="N150" i="5"/>
  <c r="O150" i="5" s="1"/>
  <c r="N140" i="5"/>
  <c r="O140" i="5" s="1"/>
  <c r="L84" i="5"/>
  <c r="L85" i="5" s="1"/>
  <c r="L78" i="5"/>
  <c r="N72" i="5"/>
  <c r="O72" i="5" s="1"/>
  <c r="L51" i="5"/>
  <c r="L52" i="5"/>
  <c r="L53" i="5"/>
  <c r="L1653" i="5" s="1"/>
  <c r="L48" i="5"/>
  <c r="N36" i="5"/>
  <c r="O36" i="5" s="1"/>
  <c r="L42" i="5"/>
  <c r="L17" i="5"/>
  <c r="L344" i="5" s="1"/>
  <c r="L16" i="5"/>
  <c r="L343" i="5" s="1"/>
  <c r="L15" i="5"/>
  <c r="L12" i="5"/>
  <c r="L361" i="5" s="1"/>
  <c r="L1667" i="5" s="1"/>
  <c r="L534" i="5" l="1"/>
  <c r="L535" i="5" s="1"/>
  <c r="L1672" i="5" s="1"/>
  <c r="L54" i="5"/>
  <c r="L1654" i="5"/>
  <c r="L1666" i="5"/>
  <c r="L1664" i="5"/>
  <c r="L353" i="5"/>
  <c r="L355" i="5" s="1"/>
  <c r="L663" i="5"/>
  <c r="L664" i="5" s="1"/>
  <c r="L660" i="5"/>
  <c r="L18" i="5"/>
  <c r="L342" i="5"/>
  <c r="L1366" i="5"/>
  <c r="L1419" i="5"/>
  <c r="L1422" i="5" s="1"/>
  <c r="K1528" i="5"/>
  <c r="K1529" i="5"/>
  <c r="K1531" i="5"/>
  <c r="K1532" i="5"/>
  <c r="K1533" i="5"/>
  <c r="K1534" i="5"/>
  <c r="K1535" i="5"/>
  <c r="K1536" i="5"/>
  <c r="K1537" i="5"/>
  <c r="K1538" i="5"/>
  <c r="K1539" i="5"/>
  <c r="K1541" i="5"/>
  <c r="K1542" i="5"/>
  <c r="K1543" i="5"/>
  <c r="K1544" i="5"/>
  <c r="K1545" i="5"/>
  <c r="K1546" i="5"/>
  <c r="K1547" i="5"/>
  <c r="K1549" i="5"/>
  <c r="K1550" i="5"/>
  <c r="K1551" i="5"/>
  <c r="K1552" i="5"/>
  <c r="K1553" i="5"/>
  <c r="K1554" i="5"/>
  <c r="K1555" i="5"/>
  <c r="K1556" i="5"/>
  <c r="K1557" i="5"/>
  <c r="K1558" i="5"/>
  <c r="K1559" i="5"/>
  <c r="K1560" i="5"/>
  <c r="K1561" i="5"/>
  <c r="K1562" i="5"/>
  <c r="K1564" i="5"/>
  <c r="K1566" i="5"/>
  <c r="K1567" i="5"/>
  <c r="K1568" i="5"/>
  <c r="K1569" i="5"/>
  <c r="K1571" i="5"/>
  <c r="K1572" i="5"/>
  <c r="K1573" i="5"/>
  <c r="K1574" i="5"/>
  <c r="K1575" i="5"/>
  <c r="K1576" i="5"/>
  <c r="K1577" i="5"/>
  <c r="K1578" i="5"/>
  <c r="K1527" i="5"/>
  <c r="K1512" i="5"/>
  <c r="K1513" i="5"/>
  <c r="K1514" i="5"/>
  <c r="K1515" i="5"/>
  <c r="K1516" i="5"/>
  <c r="K1517" i="5"/>
  <c r="K1518" i="5"/>
  <c r="K1519" i="5"/>
  <c r="K1520" i="5"/>
  <c r="K1521" i="5"/>
  <c r="K1511" i="5"/>
  <c r="K628" i="5"/>
  <c r="K627" i="5"/>
  <c r="K621" i="5"/>
  <c r="K1458" i="5"/>
  <c r="K1459" i="5" s="1"/>
  <c r="K1448" i="5"/>
  <c r="K1449" i="5" s="1"/>
  <c r="L345" i="5" l="1"/>
  <c r="L347" i="5"/>
  <c r="L1665" i="5" s="1"/>
  <c r="K1485" i="5"/>
  <c r="K1486" i="5" s="1"/>
  <c r="K1489" i="5" l="1"/>
  <c r="K1490" i="5"/>
  <c r="K612" i="5"/>
  <c r="K613" i="5" s="1"/>
  <c r="K614" i="5" s="1"/>
  <c r="K606" i="5"/>
  <c r="K605" i="5"/>
  <c r="K604" i="5"/>
  <c r="K603" i="5"/>
  <c r="K595" i="5"/>
  <c r="K598" i="5"/>
  <c r="K597" i="5"/>
  <c r="K596" i="5"/>
  <c r="K630" i="5"/>
  <c r="K631" i="5" s="1"/>
  <c r="K623" i="5"/>
  <c r="K624" i="5" s="1"/>
  <c r="K594" i="5"/>
  <c r="K1163" i="5"/>
  <c r="K1164" i="5" s="1"/>
  <c r="K1145" i="5"/>
  <c r="K1146" i="5" s="1"/>
  <c r="K1138" i="5"/>
  <c r="K1139" i="5" s="1"/>
  <c r="K1118" i="5"/>
  <c r="K1117" i="5"/>
  <c r="K1116" i="5"/>
  <c r="K1115" i="5"/>
  <c r="K1114" i="5"/>
  <c r="K1113" i="5"/>
  <c r="K1112" i="5"/>
  <c r="K1111" i="5"/>
  <c r="K1110" i="5"/>
  <c r="K1109" i="5"/>
  <c r="K1108" i="5"/>
  <c r="K1107" i="5"/>
  <c r="K1106" i="5"/>
  <c r="K1100" i="5"/>
  <c r="K1092" i="5"/>
  <c r="K1093" i="5" s="1"/>
  <c r="K1077" i="5"/>
  <c r="K1078" i="5" s="1"/>
  <c r="K1070" i="5"/>
  <c r="K1071" i="5" s="1"/>
  <c r="K1044" i="5"/>
  <c r="K1045" i="5"/>
  <c r="K1046" i="5"/>
  <c r="K1047" i="5"/>
  <c r="K1048" i="5"/>
  <c r="K1049" i="5"/>
  <c r="K1050" i="5"/>
  <c r="K1051" i="5"/>
  <c r="K1052" i="5"/>
  <c r="K1053" i="5"/>
  <c r="K1054" i="5"/>
  <c r="K1027" i="5"/>
  <c r="K1021" i="5"/>
  <c r="K1020" i="5"/>
  <c r="K1012" i="5"/>
  <c r="K1030" i="5" l="1"/>
  <c r="K1096" i="5"/>
  <c r="K1097" i="5" s="1"/>
  <c r="K1101" i="5" s="1"/>
  <c r="K1102" i="5" s="1"/>
  <c r="K617" i="5"/>
  <c r="K1031" i="5"/>
  <c r="K1039" i="5"/>
  <c r="K1034" i="5"/>
  <c r="K1035" i="5" s="1"/>
  <c r="K1036" i="5" s="1"/>
  <c r="K1166" i="5"/>
  <c r="K1167" i="5"/>
  <c r="K608" i="5"/>
  <c r="K599" i="5"/>
  <c r="K600" i="5" s="1"/>
  <c r="K1119" i="5"/>
  <c r="K1120" i="5"/>
  <c r="K1121" i="5" s="1"/>
  <c r="K1098" i="5"/>
  <c r="K1055" i="5"/>
  <c r="K1056" i="5" s="1"/>
  <c r="K1655" i="5"/>
  <c r="K1650" i="5"/>
  <c r="K1636" i="5"/>
  <c r="K1624" i="5"/>
  <c r="K1621" i="5"/>
  <c r="K1658" i="5" s="1"/>
  <c r="K651" i="5"/>
  <c r="K654" i="5" s="1"/>
  <c r="K643" i="5"/>
  <c r="K658" i="5" s="1"/>
  <c r="K659" i="5" s="1"/>
  <c r="K638" i="5"/>
  <c r="K634" i="5"/>
  <c r="K635" i="5" s="1"/>
  <c r="K1625" i="5" l="1"/>
  <c r="K647" i="5"/>
  <c r="K648" i="5" s="1"/>
  <c r="K1656" i="5"/>
  <c r="K1657" i="5"/>
  <c r="K609" i="5"/>
  <c r="K616" i="5"/>
  <c r="K618" i="5" s="1"/>
  <c r="K1659" i="5"/>
  <c r="K1168" i="5"/>
  <c r="K655" i="5"/>
  <c r="K662" i="5"/>
  <c r="K636" i="5"/>
  <c r="K639" i="5"/>
  <c r="K640" i="5" s="1"/>
  <c r="K660" i="5"/>
  <c r="K663" i="5"/>
  <c r="K586" i="5"/>
  <c r="K587" i="5" s="1"/>
  <c r="K581" i="5"/>
  <c r="K582" i="5" s="1"/>
  <c r="K573" i="5"/>
  <c r="K589" i="5" s="1"/>
  <c r="K574" i="5" l="1"/>
  <c r="K590" i="5"/>
  <c r="K591" i="5"/>
  <c r="K664" i="5"/>
  <c r="K708" i="5"/>
  <c r="K712" i="5" s="1"/>
  <c r="K703" i="5"/>
  <c r="K711" i="5" s="1"/>
  <c r="K713" i="5" l="1"/>
  <c r="K1293" i="5"/>
  <c r="K1294" i="5" s="1"/>
  <c r="K1286" i="5"/>
  <c r="K1287" i="5" s="1"/>
  <c r="K1273" i="5"/>
  <c r="K1276" i="5" s="1"/>
  <c r="K1277" i="5" s="1"/>
  <c r="K1266" i="5"/>
  <c r="K1267" i="5" s="1"/>
  <c r="K753" i="5"/>
  <c r="K742" i="5"/>
  <c r="K746" i="5" s="1"/>
  <c r="K737" i="5"/>
  <c r="K1296" i="5" l="1"/>
  <c r="K1297" i="5" s="1"/>
  <c r="K1274" i="5"/>
  <c r="K745" i="5"/>
  <c r="K747" i="5" s="1"/>
  <c r="K690" i="5"/>
  <c r="K694" i="5" s="1"/>
  <c r="K685" i="5"/>
  <c r="K686" i="5" s="1"/>
  <c r="K852" i="5"/>
  <c r="K856" i="5" s="1"/>
  <c r="K847" i="5"/>
  <c r="K855" i="5" s="1"/>
  <c r="K839" i="5"/>
  <c r="K840" i="5" s="1"/>
  <c r="K827" i="5"/>
  <c r="K831" i="5" s="1"/>
  <c r="K822" i="5"/>
  <c r="K830" i="5" s="1"/>
  <c r="K814" i="5"/>
  <c r="K815" i="5" s="1"/>
  <c r="K799" i="5"/>
  <c r="K803" i="5" s="1"/>
  <c r="K794" i="5"/>
  <c r="K802" i="5" s="1"/>
  <c r="K1674" i="5"/>
  <c r="K1673" i="5"/>
  <c r="K1506" i="5"/>
  <c r="K1507" i="5" s="1"/>
  <c r="K1498" i="5"/>
  <c r="K1499" i="5" s="1"/>
  <c r="K1002" i="5"/>
  <c r="K994" i="5"/>
  <c r="K995" i="5" s="1"/>
  <c r="K942" i="5"/>
  <c r="K943" i="5"/>
  <c r="K944" i="5"/>
  <c r="K945" i="5"/>
  <c r="K946" i="5"/>
  <c r="K947" i="5"/>
  <c r="K948" i="5"/>
  <c r="K949" i="5"/>
  <c r="K950" i="5"/>
  <c r="K951" i="5"/>
  <c r="K952" i="5"/>
  <c r="K953" i="5"/>
  <c r="K954" i="5"/>
  <c r="K955" i="5"/>
  <c r="K956" i="5"/>
  <c r="K957" i="5"/>
  <c r="K958" i="5"/>
  <c r="K959" i="5"/>
  <c r="K960" i="5"/>
  <c r="K961" i="5"/>
  <c r="K962" i="5"/>
  <c r="K963" i="5"/>
  <c r="K964" i="5"/>
  <c r="K965" i="5"/>
  <c r="K545" i="5"/>
  <c r="K552" i="5" s="1"/>
  <c r="K553" i="5" s="1"/>
  <c r="K564" i="5"/>
  <c r="K565" i="5" s="1"/>
  <c r="K559" i="5"/>
  <c r="K560" i="5" s="1"/>
  <c r="K528" i="5"/>
  <c r="K514" i="5"/>
  <c r="K519" i="5" s="1"/>
  <c r="K509" i="5"/>
  <c r="K500" i="5"/>
  <c r="K487" i="5"/>
  <c r="K482" i="5"/>
  <c r="K471" i="5"/>
  <c r="K475" i="5" s="1"/>
  <c r="K477" i="5" s="1"/>
  <c r="K464" i="5"/>
  <c r="K456" i="5"/>
  <c r="K457" i="5" s="1"/>
  <c r="K444" i="5"/>
  <c r="K426" i="5"/>
  <c r="K409" i="5"/>
  <c r="K410" i="5" s="1"/>
  <c r="K393" i="5"/>
  <c r="K382" i="5"/>
  <c r="K386" i="5" s="1"/>
  <c r="K1321" i="5"/>
  <c r="K1322" i="5" s="1"/>
  <c r="K795" i="5" l="1"/>
  <c r="K823" i="5"/>
  <c r="K832" i="5"/>
  <c r="K828" i="5"/>
  <c r="K1003" i="5"/>
  <c r="K1038" i="5"/>
  <c r="K1040" i="5" s="1"/>
  <c r="K966" i="5"/>
  <c r="K967" i="5" s="1"/>
  <c r="K691" i="5"/>
  <c r="K693" i="5"/>
  <c r="K695" i="5" s="1"/>
  <c r="K857" i="5"/>
  <c r="K853" i="5"/>
  <c r="K804" i="5"/>
  <c r="K800" i="5"/>
  <c r="K533" i="5"/>
  <c r="K532" i="5"/>
  <c r="K384" i="5"/>
  <c r="K1463" i="5"/>
  <c r="K1464" i="5" s="1"/>
  <c r="K1470" i="5"/>
  <c r="K1471" i="5" s="1"/>
  <c r="K1430" i="5"/>
  <c r="K1428" i="5"/>
  <c r="K1427" i="5"/>
  <c r="K1416" i="5"/>
  <c r="K1415" i="5"/>
  <c r="K1414" i="5"/>
  <c r="K1409" i="5"/>
  <c r="K1406" i="5"/>
  <c r="K1405" i="5"/>
  <c r="K1403" i="5"/>
  <c r="K1402" i="5"/>
  <c r="K1395" i="5"/>
  <c r="K1394" i="5"/>
  <c r="K1393" i="5"/>
  <c r="K1372" i="5" s="1"/>
  <c r="K1388" i="5"/>
  <c r="K1385" i="5"/>
  <c r="K1364" i="5" s="1"/>
  <c r="K1384" i="5"/>
  <c r="K1363" i="5" s="1"/>
  <c r="K1382" i="5"/>
  <c r="K1361" i="5" s="1"/>
  <c r="K1381" i="5"/>
  <c r="K1374" i="5"/>
  <c r="K1373" i="5"/>
  <c r="K1253" i="5"/>
  <c r="K1257" i="5" s="1"/>
  <c r="K1418" i="5" s="1"/>
  <c r="K1235" i="5"/>
  <c r="K1236" i="5" s="1"/>
  <c r="K1242" i="5"/>
  <c r="K1243" i="5" s="1"/>
  <c r="K1223" i="5"/>
  <c r="K1222" i="5"/>
  <c r="K1221" i="5"/>
  <c r="K1220" i="5"/>
  <c r="K1219" i="5"/>
  <c r="K1218" i="5"/>
  <c r="K1217" i="5"/>
  <c r="K1184" i="5"/>
  <c r="K1173" i="5" s="1"/>
  <c r="K1208" i="5"/>
  <c r="K1212" i="5" s="1"/>
  <c r="K1417" i="5" s="1"/>
  <c r="K1197" i="5"/>
  <c r="K1198" i="5" s="1"/>
  <c r="K1172" i="5"/>
  <c r="K1174" i="5"/>
  <c r="K1175" i="5"/>
  <c r="K1176" i="5"/>
  <c r="K1177" i="5"/>
  <c r="K1178" i="5"/>
  <c r="K725" i="5"/>
  <c r="K729" i="5" s="1"/>
  <c r="K1404" i="5" s="1"/>
  <c r="K720" i="5"/>
  <c r="K728" i="5" s="1"/>
  <c r="K1383" i="5" s="1"/>
  <c r="K933" i="5"/>
  <c r="K937" i="5" s="1"/>
  <c r="K1413" i="5" s="1"/>
  <c r="K928" i="5"/>
  <c r="K936" i="5" s="1"/>
  <c r="K938" i="5" s="1"/>
  <c r="K1333" i="5"/>
  <c r="K1334" i="5" s="1"/>
  <c r="K1329" i="5"/>
  <c r="K1337" i="5" s="1"/>
  <c r="K1351" i="5"/>
  <c r="K1355" i="5" s="1"/>
  <c r="K1432" i="5" s="1"/>
  <c r="K1346" i="5"/>
  <c r="K1354" i="5" s="1"/>
  <c r="K782" i="5"/>
  <c r="K786" i="5" s="1"/>
  <c r="K1408" i="5" s="1"/>
  <c r="K777" i="5"/>
  <c r="K785" i="5" s="1"/>
  <c r="K787" i="5" s="1"/>
  <c r="K873" i="5"/>
  <c r="K1410" i="5" s="1"/>
  <c r="K869" i="5"/>
  <c r="K870" i="5" s="1"/>
  <c r="K864" i="5"/>
  <c r="K872" i="5" s="1"/>
  <c r="K1389" i="5" s="1"/>
  <c r="K760" i="5"/>
  <c r="K761" i="5" s="1"/>
  <c r="K765" i="5"/>
  <c r="K769" i="5" s="1"/>
  <c r="K1407" i="5" s="1"/>
  <c r="K916" i="5"/>
  <c r="K920" i="5" s="1"/>
  <c r="K1412" i="5" s="1"/>
  <c r="K911" i="5"/>
  <c r="K919" i="5" s="1"/>
  <c r="K1391" i="5" s="1"/>
  <c r="K899" i="5"/>
  <c r="K903" i="5" s="1"/>
  <c r="K1411" i="5" s="1"/>
  <c r="K894" i="5"/>
  <c r="K895" i="5" s="1"/>
  <c r="K887" i="5"/>
  <c r="K888" i="5" s="1"/>
  <c r="K1305" i="5"/>
  <c r="K1306" i="5" s="1"/>
  <c r="K1256" i="5" l="1"/>
  <c r="K1397" i="5" s="1"/>
  <c r="K1190" i="5"/>
  <c r="K1191" i="5" s="1"/>
  <c r="K1370" i="5"/>
  <c r="K1352" i="5"/>
  <c r="K874" i="5"/>
  <c r="K934" i="5"/>
  <c r="K1376" i="5"/>
  <c r="K1368" i="5"/>
  <c r="K1362" i="5"/>
  <c r="K902" i="5"/>
  <c r="K1390" i="5" s="1"/>
  <c r="K1369" i="5" s="1"/>
  <c r="K1360" i="5"/>
  <c r="K388" i="5"/>
  <c r="K1671" i="5"/>
  <c r="K1367" i="5"/>
  <c r="K1392" i="5"/>
  <c r="K1371" i="5" s="1"/>
  <c r="K534" i="5"/>
  <c r="K535" i="5" s="1"/>
  <c r="K1672" i="5" s="1"/>
  <c r="K1419" i="5"/>
  <c r="K1422" i="5" s="1"/>
  <c r="K1387" i="5"/>
  <c r="K1366" i="5" s="1"/>
  <c r="K1258" i="5"/>
  <c r="K1224" i="5"/>
  <c r="K1225" i="5" s="1"/>
  <c r="K1209" i="5"/>
  <c r="K1179" i="5"/>
  <c r="K1180" i="5" s="1"/>
  <c r="K1211" i="5"/>
  <c r="K1396" i="5" s="1"/>
  <c r="K1375" i="5" s="1"/>
  <c r="K726" i="5"/>
  <c r="K730" i="5"/>
  <c r="K1338" i="5"/>
  <c r="K1339" i="5" s="1"/>
  <c r="K1431" i="5" s="1"/>
  <c r="K1335" i="5"/>
  <c r="K1356" i="5"/>
  <c r="K778" i="5"/>
  <c r="K783" i="5"/>
  <c r="K768" i="5"/>
  <c r="K1386" i="5" s="1"/>
  <c r="K1365" i="5" s="1"/>
  <c r="K921" i="5"/>
  <c r="K917" i="5"/>
  <c r="K900" i="5"/>
  <c r="K1312" i="5"/>
  <c r="K770" i="5" l="1"/>
  <c r="K1377" i="5"/>
  <c r="K1398" i="5"/>
  <c r="K1421" i="5" s="1"/>
  <c r="K1423" i="5" s="1"/>
  <c r="K1313" i="5"/>
  <c r="K1429" i="5"/>
  <c r="K1433" i="5" s="1"/>
  <c r="K904" i="5"/>
  <c r="K1213" i="5"/>
  <c r="K366" i="5" l="1"/>
  <c r="K365" i="5"/>
  <c r="K364" i="5"/>
  <c r="K360" i="5"/>
  <c r="K359" i="5"/>
  <c r="K358" i="5"/>
  <c r="K352" i="5"/>
  <c r="K351" i="5"/>
  <c r="K350" i="5"/>
  <c r="K338" i="5"/>
  <c r="K339" i="5" s="1"/>
  <c r="K332" i="5"/>
  <c r="K281" i="5"/>
  <c r="K309" i="5"/>
  <c r="K303" i="5"/>
  <c r="K297" i="5"/>
  <c r="K269" i="5"/>
  <c r="K287" i="5"/>
  <c r="K275" i="5"/>
  <c r="K246" i="5"/>
  <c r="K240" i="5"/>
  <c r="K217" i="5"/>
  <c r="K206" i="5"/>
  <c r="N203" i="5"/>
  <c r="O203" i="5" s="1"/>
  <c r="K84" i="5"/>
  <c r="K85" i="5" s="1"/>
  <c r="K78" i="5"/>
  <c r="K53" i="5"/>
  <c r="K1653" i="5" s="1"/>
  <c r="K52" i="5"/>
  <c r="K51" i="5"/>
  <c r="K48" i="5"/>
  <c r="K1664" i="5" s="1"/>
  <c r="K42" i="5"/>
  <c r="K17" i="5"/>
  <c r="K344" i="5" s="1"/>
  <c r="K16" i="5"/>
  <c r="K343" i="5" s="1"/>
  <c r="K15" i="5"/>
  <c r="K12" i="5"/>
  <c r="K361" i="5" s="1"/>
  <c r="K1667" i="5" s="1"/>
  <c r="K18" i="5" l="1"/>
  <c r="K345" i="5" s="1"/>
  <c r="K370" i="5"/>
  <c r="K371" i="5"/>
  <c r="K54" i="5"/>
  <c r="K1654" i="5" s="1"/>
  <c r="K367" i="5"/>
  <c r="K373" i="5" s="1"/>
  <c r="K1668" i="5" s="1"/>
  <c r="K342" i="5"/>
  <c r="K347" i="5"/>
  <c r="K1665" i="5" s="1"/>
  <c r="K353" i="5"/>
  <c r="K355" i="5" s="1"/>
  <c r="J1655" i="5"/>
  <c r="J1650" i="5"/>
  <c r="J1636" i="5"/>
  <c r="J1624" i="5"/>
  <c r="J1621" i="5"/>
  <c r="J1658" i="5" s="1"/>
  <c r="K1666" i="5" l="1"/>
  <c r="J1656" i="5"/>
  <c r="J1657" i="5"/>
  <c r="J1625" i="5"/>
  <c r="J1659" i="5"/>
  <c r="J1579" i="5" l="1"/>
  <c r="I1548" i="5"/>
  <c r="J1523" i="5"/>
  <c r="J1524" i="5" s="1"/>
  <c r="J1506" i="5"/>
  <c r="J1507" i="5" s="1"/>
  <c r="J1498" i="5"/>
  <c r="J1499" i="5" s="1"/>
  <c r="J1458" i="5" l="1"/>
  <c r="J1459" i="5" s="1"/>
  <c r="J1448" i="5"/>
  <c r="J1449" i="5" s="1"/>
  <c r="J627" i="5"/>
  <c r="J630" i="5" s="1"/>
  <c r="J638" i="5" s="1"/>
  <c r="J621" i="5"/>
  <c r="J623" i="5" s="1"/>
  <c r="J624" i="5" s="1"/>
  <c r="J634" i="5" l="1"/>
  <c r="J635" i="5" s="1"/>
  <c r="J639" i="5" s="1"/>
  <c r="J640" i="5" s="1"/>
  <c r="J631" i="5"/>
  <c r="J636" i="5" l="1"/>
  <c r="J1485" i="5"/>
  <c r="J1490" i="5" s="1"/>
  <c r="J1486" i="5" l="1"/>
  <c r="J1489" i="5"/>
  <c r="J1673" i="5" l="1"/>
  <c r="J1674" i="5"/>
  <c r="J1470" i="5"/>
  <c r="J1471" i="5" s="1"/>
  <c r="J1463" i="5"/>
  <c r="J1464" i="5" s="1"/>
  <c r="J1351" i="5" l="1"/>
  <c r="J1355" i="5" s="1"/>
  <c r="J1432" i="5" s="1"/>
  <c r="J1346" i="5"/>
  <c r="J1354" i="5" s="1"/>
  <c r="J1334" i="5"/>
  <c r="J1338" i="5" s="1"/>
  <c r="J1329" i="5"/>
  <c r="J1337" i="5" s="1"/>
  <c r="J1321" i="5"/>
  <c r="J1322" i="5" s="1"/>
  <c r="J1293" i="5"/>
  <c r="J1294" i="5" s="1"/>
  <c r="J1286" i="5"/>
  <c r="J1287" i="5" s="1"/>
  <c r="J1273" i="5"/>
  <c r="J1266" i="5"/>
  <c r="J1267" i="5" s="1"/>
  <c r="J1253" i="5"/>
  <c r="J1257" i="5" s="1"/>
  <c r="J1418" i="5" s="1"/>
  <c r="J1242" i="5"/>
  <c r="J1243" i="5" s="1"/>
  <c r="J1235" i="5"/>
  <c r="J1236" i="5" s="1"/>
  <c r="J1223" i="5"/>
  <c r="J1222" i="5"/>
  <c r="J1221" i="5"/>
  <c r="J1220" i="5"/>
  <c r="J1219" i="5"/>
  <c r="J1218" i="5"/>
  <c r="J1217" i="5"/>
  <c r="J1197" i="5"/>
  <c r="J1198" i="5" s="1"/>
  <c r="J1208" i="5"/>
  <c r="J1209" i="5" s="1"/>
  <c r="J1190" i="5"/>
  <c r="J1191" i="5" s="1"/>
  <c r="J1172" i="5"/>
  <c r="J1173" i="5"/>
  <c r="J1174" i="5"/>
  <c r="J1175" i="5"/>
  <c r="J1176" i="5"/>
  <c r="J1177" i="5"/>
  <c r="J1178" i="5"/>
  <c r="J1145" i="5"/>
  <c r="J1146" i="5" s="1"/>
  <c r="J1138" i="5"/>
  <c r="J1139" i="5" s="1"/>
  <c r="J1163" i="5"/>
  <c r="J1164" i="5" s="1"/>
  <c r="J1106" i="5"/>
  <c r="J1107" i="5"/>
  <c r="J1108" i="5"/>
  <c r="J1109" i="5"/>
  <c r="J1110" i="5"/>
  <c r="J1111" i="5"/>
  <c r="J1112" i="5"/>
  <c r="J1113" i="5"/>
  <c r="J1114" i="5"/>
  <c r="J1115" i="5"/>
  <c r="J1116" i="5"/>
  <c r="J1117" i="5"/>
  <c r="J1118" i="5"/>
  <c r="J1092" i="5"/>
  <c r="J1093" i="5" s="1"/>
  <c r="J1077" i="5"/>
  <c r="J1100" i="5" s="1"/>
  <c r="J1394" i="5" s="1"/>
  <c r="J1070" i="5"/>
  <c r="J1071" i="5" s="1"/>
  <c r="J1044" i="5"/>
  <c r="J1045" i="5"/>
  <c r="J1046" i="5"/>
  <c r="J1047" i="5"/>
  <c r="J1048" i="5"/>
  <c r="J1049" i="5"/>
  <c r="J1050" i="5"/>
  <c r="J1051" i="5"/>
  <c r="J1052" i="5"/>
  <c r="J1053" i="5"/>
  <c r="J1054" i="5"/>
  <c r="J1027" i="5"/>
  <c r="J963" i="5" s="1"/>
  <c r="J1020" i="5"/>
  <c r="J956" i="5" s="1"/>
  <c r="J1019" i="5"/>
  <c r="J955" i="5" s="1"/>
  <c r="J1013" i="5"/>
  <c r="J1012" i="5"/>
  <c r="J948" i="5" s="1"/>
  <c r="J994" i="5"/>
  <c r="J995" i="5" s="1"/>
  <c r="J1002" i="5"/>
  <c r="J1003" i="5" s="1"/>
  <c r="J942" i="5"/>
  <c r="J943" i="5"/>
  <c r="J944" i="5"/>
  <c r="J945" i="5"/>
  <c r="J946" i="5"/>
  <c r="J947" i="5"/>
  <c r="J950" i="5"/>
  <c r="J951" i="5"/>
  <c r="J952" i="5"/>
  <c r="J953" i="5"/>
  <c r="J954" i="5"/>
  <c r="J957" i="5"/>
  <c r="J958" i="5"/>
  <c r="J959" i="5"/>
  <c r="J960" i="5"/>
  <c r="J961" i="5"/>
  <c r="J962" i="5"/>
  <c r="J964" i="5"/>
  <c r="J965" i="5"/>
  <c r="J928" i="5"/>
  <c r="J936" i="5" s="1"/>
  <c r="J1392" i="5" s="1"/>
  <c r="J933" i="5"/>
  <c r="J937" i="5" s="1"/>
  <c r="J1413" i="5" s="1"/>
  <c r="J916" i="5"/>
  <c r="J920" i="5" s="1"/>
  <c r="J1412" i="5" s="1"/>
  <c r="J911" i="5"/>
  <c r="J919" i="5" s="1"/>
  <c r="J1391" i="5" s="1"/>
  <c r="J899" i="5"/>
  <c r="J900" i="5" s="1"/>
  <c r="J894" i="5"/>
  <c r="J895" i="5" s="1"/>
  <c r="J887" i="5"/>
  <c r="J888" i="5" s="1"/>
  <c r="J873" i="5"/>
  <c r="J1410" i="5" s="1"/>
  <c r="J869" i="5"/>
  <c r="J870" i="5" s="1"/>
  <c r="J864" i="5"/>
  <c r="J872" i="5" s="1"/>
  <c r="J847" i="5"/>
  <c r="J855" i="5" s="1"/>
  <c r="J852" i="5"/>
  <c r="J856" i="5" s="1"/>
  <c r="J839" i="5"/>
  <c r="J840" i="5" s="1"/>
  <c r="J827" i="5"/>
  <c r="J828" i="5" s="1"/>
  <c r="J822" i="5"/>
  <c r="J823" i="5" s="1"/>
  <c r="J814" i="5"/>
  <c r="J815" i="5" s="1"/>
  <c r="J799" i="5"/>
  <c r="J803" i="5" s="1"/>
  <c r="J1409" i="5" s="1"/>
  <c r="J794" i="5"/>
  <c r="J795" i="5" s="1"/>
  <c r="J782" i="5"/>
  <c r="J783" i="5" s="1"/>
  <c r="J777" i="5"/>
  <c r="J778" i="5" s="1"/>
  <c r="J765" i="5"/>
  <c r="J769" i="5" s="1"/>
  <c r="J1407" i="5" s="1"/>
  <c r="J760" i="5"/>
  <c r="J761" i="5" s="1"/>
  <c r="J753" i="5"/>
  <c r="J742" i="5"/>
  <c r="J746" i="5" s="1"/>
  <c r="J737" i="5"/>
  <c r="J738" i="5" s="1"/>
  <c r="J725" i="5"/>
  <c r="J726" i="5" s="1"/>
  <c r="J720" i="5"/>
  <c r="J728" i="5" s="1"/>
  <c r="J703" i="5"/>
  <c r="J711" i="5" s="1"/>
  <c r="J1382" i="5" s="1"/>
  <c r="J708" i="5"/>
  <c r="J712" i="5" s="1"/>
  <c r="J1403" i="5" s="1"/>
  <c r="J690" i="5"/>
  <c r="J691" i="5" s="1"/>
  <c r="J685" i="5"/>
  <c r="J686" i="5" s="1"/>
  <c r="J651" i="5"/>
  <c r="J654" i="5" s="1"/>
  <c r="J655" i="5" s="1"/>
  <c r="J643" i="5"/>
  <c r="J647" i="5" s="1"/>
  <c r="J648" i="5" s="1"/>
  <c r="J612" i="5"/>
  <c r="J613" i="5" s="1"/>
  <c r="J607" i="5"/>
  <c r="J606" i="5"/>
  <c r="J605" i="5"/>
  <c r="J604" i="5"/>
  <c r="J598" i="5"/>
  <c r="J597" i="5"/>
  <c r="J596" i="5"/>
  <c r="J595" i="5"/>
  <c r="J594" i="5"/>
  <c r="J586" i="5"/>
  <c r="J590" i="5" s="1"/>
  <c r="J581" i="5"/>
  <c r="J582" i="5" s="1"/>
  <c r="J573" i="5"/>
  <c r="J574" i="5" s="1"/>
  <c r="J1370" i="5" l="1"/>
  <c r="J745" i="5"/>
  <c r="J1384" i="5" s="1"/>
  <c r="J1256" i="5"/>
  <c r="J1258" i="5" s="1"/>
  <c r="J1335" i="5"/>
  <c r="J1030" i="5"/>
  <c r="J1034" i="5" s="1"/>
  <c r="J1035" i="5" s="1"/>
  <c r="J1036" i="5" s="1"/>
  <c r="J1038" i="5"/>
  <c r="J589" i="5"/>
  <c r="J694" i="5"/>
  <c r="J1402" i="5" s="1"/>
  <c r="J786" i="5"/>
  <c r="J1408" i="5" s="1"/>
  <c r="J1366" i="5" s="1"/>
  <c r="J903" i="5"/>
  <c r="J1411" i="5" s="1"/>
  <c r="J1339" i="5"/>
  <c r="J1431" i="5" s="1"/>
  <c r="J614" i="5"/>
  <c r="J617" i="5"/>
  <c r="J785" i="5"/>
  <c r="J1387" i="5" s="1"/>
  <c r="J800" i="5"/>
  <c r="J949" i="5"/>
  <c r="J966" i="5" s="1"/>
  <c r="J967" i="5" s="1"/>
  <c r="J1211" i="5"/>
  <c r="J1396" i="5" s="1"/>
  <c r="J608" i="5"/>
  <c r="J609" i="5" s="1"/>
  <c r="J1361" i="5"/>
  <c r="J874" i="5"/>
  <c r="J1389" i="5"/>
  <c r="J1368" i="5" s="1"/>
  <c r="J616" i="5"/>
  <c r="J1383" i="5"/>
  <c r="J1371" i="5"/>
  <c r="J658" i="5"/>
  <c r="J659" i="5" s="1"/>
  <c r="J663" i="5" s="1"/>
  <c r="J747" i="5"/>
  <c r="J768" i="5"/>
  <c r="J1386" i="5" s="1"/>
  <c r="J1365" i="5" s="1"/>
  <c r="J802" i="5"/>
  <c r="J902" i="5"/>
  <c r="J1212" i="5"/>
  <c r="J1417" i="5" s="1"/>
  <c r="J729" i="5"/>
  <c r="J1404" i="5" s="1"/>
  <c r="J831" i="5"/>
  <c r="J1406" i="5" s="1"/>
  <c r="J1167" i="5"/>
  <c r="J1416" i="5" s="1"/>
  <c r="J1274" i="5"/>
  <c r="J1296" i="5"/>
  <c r="J1297" i="5" s="1"/>
  <c r="J1405" i="5"/>
  <c r="J662" i="5"/>
  <c r="J664" i="5" s="1"/>
  <c r="J693" i="5"/>
  <c r="J787" i="5"/>
  <c r="J830" i="5"/>
  <c r="J1166" i="5"/>
  <c r="J1356" i="5"/>
  <c r="J1430" i="5"/>
  <c r="J1397" i="5"/>
  <c r="J1376" i="5" s="1"/>
  <c r="J1393" i="5"/>
  <c r="J1428" i="5"/>
  <c r="J1276" i="5"/>
  <c r="J1277" i="5" s="1"/>
  <c r="J1427" i="5"/>
  <c r="J1352" i="5"/>
  <c r="J1224" i="5"/>
  <c r="J1225" i="5" s="1"/>
  <c r="J1179" i="5"/>
  <c r="J1180" i="5" s="1"/>
  <c r="J1119" i="5"/>
  <c r="J1120" i="5"/>
  <c r="J1121" i="5" s="1"/>
  <c r="J1055" i="5"/>
  <c r="J1056" i="5" s="1"/>
  <c r="J1078" i="5"/>
  <c r="J1096" i="5"/>
  <c r="J1097" i="5" s="1"/>
  <c r="J938" i="5"/>
  <c r="J934" i="5"/>
  <c r="J921" i="5"/>
  <c r="J917" i="5"/>
  <c r="J857" i="5"/>
  <c r="J853" i="5"/>
  <c r="J713" i="5"/>
  <c r="J660" i="5"/>
  <c r="J599" i="5"/>
  <c r="J600" i="5" s="1"/>
  <c r="J587" i="5"/>
  <c r="J591" i="5"/>
  <c r="J564" i="5"/>
  <c r="J565" i="5" s="1"/>
  <c r="J559" i="5"/>
  <c r="J560" i="5" s="1"/>
  <c r="J552" i="5"/>
  <c r="J553" i="5" s="1"/>
  <c r="J528" i="5"/>
  <c r="J514" i="5"/>
  <c r="J519" i="5" s="1"/>
  <c r="J509" i="5"/>
  <c r="J500" i="5"/>
  <c r="J487" i="5"/>
  <c r="J482" i="5"/>
  <c r="J471" i="5"/>
  <c r="J475" i="5" s="1"/>
  <c r="J477" i="5" s="1"/>
  <c r="J464" i="5"/>
  <c r="J456" i="5"/>
  <c r="J457" i="5" s="1"/>
  <c r="J444" i="5"/>
  <c r="J426" i="5"/>
  <c r="J409" i="5"/>
  <c r="J410" i="5" s="1"/>
  <c r="J393" i="5"/>
  <c r="J382" i="5"/>
  <c r="J384" i="5" s="1"/>
  <c r="J366" i="5"/>
  <c r="J365" i="5"/>
  <c r="J364" i="5"/>
  <c r="J360" i="5"/>
  <c r="J359" i="5"/>
  <c r="J358" i="5"/>
  <c r="J352" i="5"/>
  <c r="J351" i="5"/>
  <c r="J350" i="5"/>
  <c r="J338" i="5"/>
  <c r="J339" i="5" s="1"/>
  <c r="J332" i="5"/>
  <c r="J309" i="5"/>
  <c r="J303" i="5"/>
  <c r="J297" i="5"/>
  <c r="J269" i="5"/>
  <c r="J287" i="5"/>
  <c r="J275" i="5"/>
  <c r="J371" i="5" s="1"/>
  <c r="J246" i="5"/>
  <c r="J240" i="5"/>
  <c r="J217" i="5"/>
  <c r="J206" i="5"/>
  <c r="N157" i="5"/>
  <c r="O157" i="5" s="1"/>
  <c r="N124" i="5"/>
  <c r="O124" i="5" s="1"/>
  <c r="N110" i="5"/>
  <c r="O110" i="5" s="1"/>
  <c r="N94" i="5"/>
  <c r="O94" i="5" s="1"/>
  <c r="J84" i="5"/>
  <c r="J85" i="5" s="1"/>
  <c r="J66" i="5"/>
  <c r="J78" i="5" s="1"/>
  <c r="J53" i="5"/>
  <c r="J1653" i="5" s="1"/>
  <c r="J52" i="5"/>
  <c r="J51" i="5"/>
  <c r="J48" i="5"/>
  <c r="J1664" i="5" s="1"/>
  <c r="J42" i="5"/>
  <c r="J618" i="5" l="1"/>
  <c r="J1039" i="5"/>
  <c r="J1414" i="5" s="1"/>
  <c r="J1213" i="5"/>
  <c r="J1372" i="5"/>
  <c r="J1031" i="5"/>
  <c r="J770" i="5"/>
  <c r="J370" i="5"/>
  <c r="J1362" i="5"/>
  <c r="J54" i="5"/>
  <c r="J1654" i="5" s="1"/>
  <c r="J1385" i="5"/>
  <c r="J1364" i="5" s="1"/>
  <c r="J832" i="5"/>
  <c r="J804" i="5"/>
  <c r="J1388" i="5"/>
  <c r="J1367" i="5" s="1"/>
  <c r="J1666" i="5"/>
  <c r="J1363" i="5"/>
  <c r="J730" i="5"/>
  <c r="J353" i="5"/>
  <c r="J355" i="5" s="1"/>
  <c r="J367" i="5"/>
  <c r="J373" i="5" s="1"/>
  <c r="J1668" i="5" s="1"/>
  <c r="J388" i="5"/>
  <c r="J1671" i="5"/>
  <c r="J695" i="5"/>
  <c r="J1381" i="5"/>
  <c r="J1375" i="5"/>
  <c r="J1168" i="5"/>
  <c r="J1395" i="5"/>
  <c r="J1374" i="5" s="1"/>
  <c r="J904" i="5"/>
  <c r="J1390" i="5"/>
  <c r="J1369" i="5" s="1"/>
  <c r="J1098" i="5"/>
  <c r="J1101" i="5"/>
  <c r="J533" i="5"/>
  <c r="J532" i="5"/>
  <c r="J386" i="5"/>
  <c r="J1040" i="5" l="1"/>
  <c r="J1102" i="5"/>
  <c r="J1415" i="5"/>
  <c r="J1360" i="5"/>
  <c r="J1398" i="5"/>
  <c r="J1421" i="5" s="1"/>
  <c r="J534" i="5"/>
  <c r="J535" i="5" s="1"/>
  <c r="J1672" i="5" s="1"/>
  <c r="J1373" i="5" l="1"/>
  <c r="J1377" i="5" s="1"/>
  <c r="J1419" i="5"/>
  <c r="J1422" i="5" s="1"/>
  <c r="J1423" i="5" s="1"/>
  <c r="J17" i="5"/>
  <c r="J344" i="5" s="1"/>
  <c r="J16" i="5"/>
  <c r="J343" i="5" s="1"/>
  <c r="J15" i="5"/>
  <c r="J12" i="5"/>
  <c r="J361" i="5" s="1"/>
  <c r="J1667" i="5" s="1"/>
  <c r="J18" i="5" l="1"/>
  <c r="J342" i="5"/>
  <c r="J1305" i="5"/>
  <c r="J1306" i="5" s="1"/>
  <c r="J345" i="5" l="1"/>
  <c r="J347" i="5"/>
  <c r="J1665" i="5" s="1"/>
  <c r="J1312" i="5"/>
  <c r="I1458" i="5"/>
  <c r="I1459" i="5" s="1"/>
  <c r="I1448" i="5"/>
  <c r="I1449" i="5" s="1"/>
  <c r="I627" i="5"/>
  <c r="I621" i="5"/>
  <c r="I634" i="5" s="1"/>
  <c r="J1313" i="5" l="1"/>
  <c r="J1429" i="5"/>
  <c r="J1433" i="5" s="1"/>
  <c r="I1673" i="5"/>
  <c r="I1655" i="5"/>
  <c r="I1650" i="5"/>
  <c r="I1636" i="5"/>
  <c r="I1621" i="5"/>
  <c r="I1656" i="5" s="1"/>
  <c r="I1624" i="5"/>
  <c r="I1659" i="5" s="1"/>
  <c r="I1579" i="5"/>
  <c r="I1523" i="5"/>
  <c r="I1524" i="5" s="1"/>
  <c r="I1506" i="5"/>
  <c r="I1507" i="5" s="1"/>
  <c r="I1498" i="5"/>
  <c r="I1499" i="5" s="1"/>
  <c r="I1485" i="5"/>
  <c r="I1486" i="5" s="1"/>
  <c r="I1463" i="5"/>
  <c r="I1464" i="5" s="1"/>
  <c r="I1470" i="5"/>
  <c r="I1471" i="5" s="1"/>
  <c r="I552" i="5"/>
  <c r="I553" i="5" s="1"/>
  <c r="I1657" i="5" l="1"/>
  <c r="I1489" i="5"/>
  <c r="I1658" i="5"/>
  <c r="I1490" i="5"/>
  <c r="I1674" i="5" s="1"/>
  <c r="I1625" i="5"/>
  <c r="I1351" i="5"/>
  <c r="I1355" i="5" s="1"/>
  <c r="I1432" i="5" s="1"/>
  <c r="I1346" i="5"/>
  <c r="I1354" i="5" s="1"/>
  <c r="I1334" i="5"/>
  <c r="I1338" i="5" s="1"/>
  <c r="I1329" i="5"/>
  <c r="I1337" i="5" s="1"/>
  <c r="I1321" i="5"/>
  <c r="I1322" i="5" s="1"/>
  <c r="I1163" i="5"/>
  <c r="I1164" i="5" s="1"/>
  <c r="I1136" i="5"/>
  <c r="I1118" i="5" s="1"/>
  <c r="I1132" i="5"/>
  <c r="I1114" i="5" s="1"/>
  <c r="I1124" i="5"/>
  <c r="I1145" i="5"/>
  <c r="I1146" i="5" s="1"/>
  <c r="I1107" i="5"/>
  <c r="I1108" i="5"/>
  <c r="I1109" i="5"/>
  <c r="I1110" i="5"/>
  <c r="I1111" i="5"/>
  <c r="I1112" i="5"/>
  <c r="I1113" i="5"/>
  <c r="I1115" i="5"/>
  <c r="I1116" i="5"/>
  <c r="I1117" i="5"/>
  <c r="I1092" i="5"/>
  <c r="I1093" i="5" s="1"/>
  <c r="I1068" i="5"/>
  <c r="I1053" i="5" s="1"/>
  <c r="I1066" i="5"/>
  <c r="I1051" i="5" s="1"/>
  <c r="I1065" i="5"/>
  <c r="I1050" i="5" s="1"/>
  <c r="I1064" i="5"/>
  <c r="I1049" i="5" s="1"/>
  <c r="I1059" i="5"/>
  <c r="I1077" i="5"/>
  <c r="I1078" i="5" s="1"/>
  <c r="I1045" i="5"/>
  <c r="I1046" i="5"/>
  <c r="I1047" i="5"/>
  <c r="I1048" i="5"/>
  <c r="I1052" i="5"/>
  <c r="I1054" i="5"/>
  <c r="I630" i="5"/>
  <c r="I631" i="5" s="1"/>
  <c r="I635" i="5"/>
  <c r="I636" i="5" s="1"/>
  <c r="I651" i="5"/>
  <c r="I654" i="5" s="1"/>
  <c r="I655" i="5" s="1"/>
  <c r="I643" i="5"/>
  <c r="I658" i="5" s="1"/>
  <c r="I659" i="5" s="1"/>
  <c r="I623" i="5"/>
  <c r="I624" i="5" s="1"/>
  <c r="I613" i="5"/>
  <c r="I617" i="5" s="1"/>
  <c r="I604" i="5"/>
  <c r="I605" i="5"/>
  <c r="I606" i="5"/>
  <c r="I607" i="5"/>
  <c r="I598" i="5"/>
  <c r="I597" i="5"/>
  <c r="I595" i="5"/>
  <c r="I594" i="5"/>
  <c r="I1167" i="5" l="1"/>
  <c r="I1416" i="5" s="1"/>
  <c r="I1335" i="5"/>
  <c r="I1339" i="5"/>
  <c r="I1431" i="5" s="1"/>
  <c r="I1430" i="5"/>
  <c r="I639" i="5"/>
  <c r="I638" i="5"/>
  <c r="I662" i="5"/>
  <c r="I647" i="5"/>
  <c r="I648" i="5" s="1"/>
  <c r="I1100" i="5"/>
  <c r="I1166" i="5"/>
  <c r="I1356" i="5"/>
  <c r="I1352" i="5"/>
  <c r="I1138" i="5"/>
  <c r="I1139" i="5" s="1"/>
  <c r="I1106" i="5"/>
  <c r="I1120" i="5" s="1"/>
  <c r="I1121" i="5" s="1"/>
  <c r="I1096" i="5"/>
  <c r="I1097" i="5" s="1"/>
  <c r="I1070" i="5"/>
  <c r="I1071" i="5" s="1"/>
  <c r="I1044" i="5"/>
  <c r="I1055" i="5" s="1"/>
  <c r="I1056" i="5" s="1"/>
  <c r="I663" i="5"/>
  <c r="I660" i="5"/>
  <c r="I614" i="5"/>
  <c r="I608" i="5"/>
  <c r="I599" i="5"/>
  <c r="I600" i="5" s="1"/>
  <c r="I586" i="5"/>
  <c r="I590" i="5" s="1"/>
  <c r="I581" i="5"/>
  <c r="I582" i="5" s="1"/>
  <c r="I573" i="5"/>
  <c r="I574" i="5" s="1"/>
  <c r="I640" i="5" l="1"/>
  <c r="I664" i="5"/>
  <c r="I1394" i="5"/>
  <c r="I1098" i="5"/>
  <c r="I1101" i="5"/>
  <c r="I1415" i="5" s="1"/>
  <c r="I609" i="5"/>
  <c r="I616" i="5"/>
  <c r="I618" i="5" s="1"/>
  <c r="I589" i="5"/>
  <c r="I591" i="5" s="1"/>
  <c r="I1168" i="5"/>
  <c r="I1395" i="5"/>
  <c r="I1374" i="5" s="1"/>
  <c r="I1119" i="5"/>
  <c r="I587" i="5"/>
  <c r="I1305" i="5"/>
  <c r="I1306" i="5" s="1"/>
  <c r="I1373" i="5" l="1"/>
  <c r="I1102" i="5"/>
  <c r="I1312" i="5"/>
  <c r="I1293" i="5"/>
  <c r="I1286" i="5"/>
  <c r="I1287" i="5" s="1"/>
  <c r="I1273" i="5"/>
  <c r="I1266" i="5"/>
  <c r="I1267" i="5" s="1"/>
  <c r="I1253" i="5"/>
  <c r="I1257" i="5" s="1"/>
  <c r="I1418" i="5" s="1"/>
  <c r="I1242" i="5"/>
  <c r="I1243" i="5" s="1"/>
  <c r="I1235" i="5"/>
  <c r="I1236" i="5" s="1"/>
  <c r="I1223" i="5"/>
  <c r="I1222" i="5"/>
  <c r="I1221" i="5"/>
  <c r="I1220" i="5"/>
  <c r="I1219" i="5"/>
  <c r="I1218" i="5"/>
  <c r="I1217" i="5"/>
  <c r="I1188" i="5"/>
  <c r="I1184" i="5"/>
  <c r="I1173" i="5" s="1"/>
  <c r="I1186" i="5"/>
  <c r="I1175" i="5" s="1"/>
  <c r="I1208" i="5"/>
  <c r="I1209" i="5" s="1"/>
  <c r="I1197" i="5"/>
  <c r="I1198" i="5" s="1"/>
  <c r="I1172" i="5"/>
  <c r="I1174" i="5"/>
  <c r="I1176" i="5"/>
  <c r="I1177" i="5"/>
  <c r="I1178" i="5"/>
  <c r="I1027" i="5"/>
  <c r="I1020" i="5"/>
  <c r="I956" i="5" s="1"/>
  <c r="I1019" i="5"/>
  <c r="I955" i="5" s="1"/>
  <c r="I1022" i="5"/>
  <c r="I958" i="5" s="1"/>
  <c r="I1015" i="5"/>
  <c r="I951" i="5" s="1"/>
  <c r="I1014" i="5"/>
  <c r="I950" i="5" s="1"/>
  <c r="I1013" i="5"/>
  <c r="I949" i="5" s="1"/>
  <c r="I1012" i="5"/>
  <c r="I991" i="5"/>
  <c r="I971" i="5"/>
  <c r="I989" i="5"/>
  <c r="I1002" i="5"/>
  <c r="I1003" i="5" s="1"/>
  <c r="I942" i="5"/>
  <c r="I943" i="5"/>
  <c r="I944" i="5"/>
  <c r="I945" i="5"/>
  <c r="I946" i="5"/>
  <c r="I947" i="5"/>
  <c r="I952" i="5"/>
  <c r="I953" i="5"/>
  <c r="I954" i="5"/>
  <c r="I957" i="5"/>
  <c r="I959" i="5"/>
  <c r="I960" i="5"/>
  <c r="I962" i="5"/>
  <c r="I964" i="5"/>
  <c r="I965" i="5"/>
  <c r="I928" i="5"/>
  <c r="I936" i="5" s="1"/>
  <c r="I1392" i="5" s="1"/>
  <c r="I933" i="5"/>
  <c r="I934" i="5" s="1"/>
  <c r="I911" i="5"/>
  <c r="I916" i="5"/>
  <c r="I917" i="5" s="1"/>
  <c r="I919" i="5"/>
  <c r="I1391" i="5" s="1"/>
  <c r="I894" i="5"/>
  <c r="I895" i="5" s="1"/>
  <c r="I899" i="5"/>
  <c r="I900" i="5" s="1"/>
  <c r="I887" i="5"/>
  <c r="I888" i="5" s="1"/>
  <c r="I873" i="5"/>
  <c r="I1410" i="5" s="1"/>
  <c r="I869" i="5"/>
  <c r="I870" i="5" s="1"/>
  <c r="I864" i="5"/>
  <c r="I872" i="5" s="1"/>
  <c r="I847" i="5"/>
  <c r="I855" i="5" s="1"/>
  <c r="I852" i="5"/>
  <c r="I853" i="5" s="1"/>
  <c r="I839" i="5"/>
  <c r="I840" i="5" s="1"/>
  <c r="I827" i="5"/>
  <c r="I831" i="5" s="1"/>
  <c r="I822" i="5"/>
  <c r="I823" i="5" s="1"/>
  <c r="I814" i="5"/>
  <c r="I815" i="5" s="1"/>
  <c r="I799" i="5"/>
  <c r="I800" i="5" s="1"/>
  <c r="I794" i="5"/>
  <c r="I795" i="5" s="1"/>
  <c r="I777" i="5"/>
  <c r="I778" i="5" s="1"/>
  <c r="I782" i="5"/>
  <c r="I786" i="5" s="1"/>
  <c r="I1408" i="5" s="1"/>
  <c r="I765" i="5"/>
  <c r="I769" i="5" s="1"/>
  <c r="I760" i="5"/>
  <c r="I761" i="5" s="1"/>
  <c r="I753" i="5"/>
  <c r="I737" i="5"/>
  <c r="I738" i="5" s="1"/>
  <c r="I742" i="5"/>
  <c r="I746" i="5" s="1"/>
  <c r="I1405" i="5" s="1"/>
  <c r="I725" i="5"/>
  <c r="I729" i="5" s="1"/>
  <c r="I1404" i="5" s="1"/>
  <c r="I720" i="5"/>
  <c r="I728" i="5" s="1"/>
  <c r="I703" i="5"/>
  <c r="I711" i="5" s="1"/>
  <c r="I1382" i="5" s="1"/>
  <c r="I708" i="5"/>
  <c r="I712" i="5" s="1"/>
  <c r="I1403" i="5" s="1"/>
  <c r="I690" i="5"/>
  <c r="I694" i="5" s="1"/>
  <c r="I1402" i="5" s="1"/>
  <c r="I685" i="5"/>
  <c r="I686" i="5" s="1"/>
  <c r="I564" i="5"/>
  <c r="I565" i="5" s="1"/>
  <c r="I559" i="5"/>
  <c r="I560" i="5" s="1"/>
  <c r="I528" i="5"/>
  <c r="I514" i="5"/>
  <c r="I519" i="5" s="1"/>
  <c r="I509" i="5"/>
  <c r="I500" i="5"/>
  <c r="I487" i="5"/>
  <c r="I482" i="5"/>
  <c r="I471" i="5"/>
  <c r="I475" i="5" s="1"/>
  <c r="I477" i="5" s="1"/>
  <c r="I444" i="5"/>
  <c r="I426" i="5"/>
  <c r="I464" i="5"/>
  <c r="I456" i="5"/>
  <c r="I457" i="5" s="1"/>
  <c r="I409" i="5"/>
  <c r="I410" i="5" s="1"/>
  <c r="I393" i="5"/>
  <c r="I382" i="5"/>
  <c r="I386" i="5" s="1"/>
  <c r="I366" i="5"/>
  <c r="I365" i="5"/>
  <c r="I364" i="5"/>
  <c r="I360" i="5"/>
  <c r="I359" i="5"/>
  <c r="I358" i="5"/>
  <c r="I352" i="5"/>
  <c r="I351" i="5"/>
  <c r="I350" i="5"/>
  <c r="I338" i="5"/>
  <c r="I339" i="5" s="1"/>
  <c r="I332" i="5"/>
  <c r="I309" i="5"/>
  <c r="I303" i="5"/>
  <c r="I297" i="5"/>
  <c r="I287" i="5"/>
  <c r="I275" i="5"/>
  <c r="I371" i="5" s="1"/>
  <c r="I269" i="5"/>
  <c r="I246" i="5"/>
  <c r="I240" i="5"/>
  <c r="I217" i="5"/>
  <c r="N174" i="5"/>
  <c r="O174" i="5" s="1"/>
  <c r="N144" i="5"/>
  <c r="O144" i="5" s="1"/>
  <c r="N90" i="5"/>
  <c r="O90" i="5" s="1"/>
  <c r="I206" i="5"/>
  <c r="I84" i="5"/>
  <c r="I85" i="5" s="1"/>
  <c r="I78" i="5"/>
  <c r="I53" i="5"/>
  <c r="I1653" i="5" s="1"/>
  <c r="I52" i="5"/>
  <c r="I51" i="5"/>
  <c r="I48" i="5"/>
  <c r="I1664" i="5" s="1"/>
  <c r="I42" i="5"/>
  <c r="I15" i="5"/>
  <c r="I342" i="5" s="1"/>
  <c r="I16" i="5"/>
  <c r="I343" i="5" s="1"/>
  <c r="I17" i="5"/>
  <c r="I344" i="5" s="1"/>
  <c r="I12" i="5"/>
  <c r="I361" i="5" s="1"/>
  <c r="I1667" i="5" s="1"/>
  <c r="I370" i="5" l="1"/>
  <c r="I533" i="5"/>
  <c r="I828" i="5"/>
  <c r="I1296" i="5"/>
  <c r="I1297" i="5" s="1"/>
  <c r="I726" i="5"/>
  <c r="I1256" i="5"/>
  <c r="I1397" i="5" s="1"/>
  <c r="I1376" i="5" s="1"/>
  <c r="I54" i="5"/>
  <c r="I1666" i="5" s="1"/>
  <c r="I691" i="5"/>
  <c r="I1361" i="5"/>
  <c r="I768" i="5"/>
  <c r="I1386" i="5" s="1"/>
  <c r="I856" i="5"/>
  <c r="I1406" i="5" s="1"/>
  <c r="I353" i="5"/>
  <c r="I355" i="5" s="1"/>
  <c r="I367" i="5"/>
  <c r="I373" i="5" s="1"/>
  <c r="I1668" i="5" s="1"/>
  <c r="I730" i="5"/>
  <c r="I1383" i="5"/>
  <c r="I1362" i="5" s="1"/>
  <c r="I1407" i="5"/>
  <c r="I874" i="5"/>
  <c r="I1389" i="5"/>
  <c r="I1368" i="5" s="1"/>
  <c r="I1276" i="5"/>
  <c r="I1277" i="5" s="1"/>
  <c r="I1427" i="5"/>
  <c r="I1313" i="5"/>
  <c r="I1429" i="5"/>
  <c r="I1294" i="5"/>
  <c r="I1428" i="5"/>
  <c r="I693" i="5"/>
  <c r="I1381" i="5" s="1"/>
  <c r="I830" i="5"/>
  <c r="I1385" i="5" s="1"/>
  <c r="I903" i="5"/>
  <c r="I1411" i="5" s="1"/>
  <c r="I902" i="5"/>
  <c r="I785" i="5"/>
  <c r="I1387" i="5" s="1"/>
  <c r="I1366" i="5" s="1"/>
  <c r="I1274" i="5"/>
  <c r="I1224" i="5"/>
  <c r="I1225" i="5" s="1"/>
  <c r="I1190" i="5"/>
  <c r="I1191" i="5" s="1"/>
  <c r="I1211" i="5"/>
  <c r="I1396" i="5" s="1"/>
  <c r="I1179" i="5"/>
  <c r="I1180" i="5" s="1"/>
  <c r="I1212" i="5"/>
  <c r="I963" i="5"/>
  <c r="I1030" i="5"/>
  <c r="I1031" i="5" s="1"/>
  <c r="I948" i="5"/>
  <c r="I994" i="5"/>
  <c r="I995" i="5" s="1"/>
  <c r="I961" i="5"/>
  <c r="I1038" i="5"/>
  <c r="I1393" i="5" s="1"/>
  <c r="I937" i="5"/>
  <c r="I920" i="5"/>
  <c r="I1412" i="5" s="1"/>
  <c r="I1370" i="5" s="1"/>
  <c r="I803" i="5"/>
  <c r="I1409" i="5" s="1"/>
  <c r="I802" i="5"/>
  <c r="I787" i="5"/>
  <c r="I783" i="5"/>
  <c r="I745" i="5"/>
  <c r="I1384" i="5" s="1"/>
  <c r="I1363" i="5" s="1"/>
  <c r="I713" i="5"/>
  <c r="I532" i="5"/>
  <c r="I534" i="5" s="1"/>
  <c r="I535" i="5" s="1"/>
  <c r="I1672" i="5" s="1"/>
  <c r="I384" i="5"/>
  <c r="I18" i="5"/>
  <c r="H612" i="5"/>
  <c r="H613" i="5" s="1"/>
  <c r="H614" i="5" s="1"/>
  <c r="H607" i="5"/>
  <c r="H606" i="5"/>
  <c r="H605" i="5"/>
  <c r="H604" i="5"/>
  <c r="I1258" i="5" l="1"/>
  <c r="I747" i="5"/>
  <c r="I966" i="5"/>
  <c r="I967" i="5" s="1"/>
  <c r="I921" i="5"/>
  <c r="I1654" i="5"/>
  <c r="I695" i="5"/>
  <c r="I832" i="5"/>
  <c r="I388" i="5"/>
  <c r="I1671" i="5"/>
  <c r="I804" i="5"/>
  <c r="I1388" i="5"/>
  <c r="I1367" i="5" s="1"/>
  <c r="I1364" i="5"/>
  <c r="I1365" i="5"/>
  <c r="I1360" i="5"/>
  <c r="I938" i="5"/>
  <c r="I1413" i="5"/>
  <c r="I1371" i="5" s="1"/>
  <c r="I1213" i="5"/>
  <c r="I1417" i="5"/>
  <c r="I1375" i="5" s="1"/>
  <c r="I904" i="5"/>
  <c r="I1390" i="5"/>
  <c r="I1369" i="5" s="1"/>
  <c r="I1433" i="5"/>
  <c r="I347" i="5"/>
  <c r="I1665" i="5" s="1"/>
  <c r="I345" i="5"/>
  <c r="I857" i="5"/>
  <c r="I770" i="5"/>
  <c r="I1034" i="5"/>
  <c r="I1035" i="5" s="1"/>
  <c r="I1036" i="5" s="1"/>
  <c r="I1039" i="5"/>
  <c r="H608" i="5"/>
  <c r="H609" i="5" s="1"/>
  <c r="H617" i="5"/>
  <c r="H627" i="5"/>
  <c r="H630" i="5" s="1"/>
  <c r="H631" i="5" s="1"/>
  <c r="H621" i="5"/>
  <c r="H623" i="5" s="1"/>
  <c r="H624" i="5" s="1"/>
  <c r="H1448" i="5"/>
  <c r="H1449" i="5" s="1"/>
  <c r="I1398" i="5" l="1"/>
  <c r="I1421" i="5" s="1"/>
  <c r="I1040" i="5"/>
  <c r="I1414" i="5"/>
  <c r="H634" i="5"/>
  <c r="H635" i="5" s="1"/>
  <c r="H636" i="5" s="1"/>
  <c r="H616" i="5"/>
  <c r="H618" i="5" s="1"/>
  <c r="H638" i="5"/>
  <c r="H639" i="5" l="1"/>
  <c r="H640" i="5" s="1"/>
  <c r="I1419" i="5"/>
  <c r="I1422" i="5" s="1"/>
  <c r="I1423" i="5" s="1"/>
  <c r="I1372" i="5"/>
  <c r="I1377" i="5" s="1"/>
  <c r="H1673" i="5"/>
  <c r="H1655" i="5"/>
  <c r="H1650" i="5"/>
  <c r="H1636" i="5"/>
  <c r="H1624" i="5"/>
  <c r="H1621" i="5"/>
  <c r="H1656" i="5" s="1"/>
  <c r="H1625" i="5" l="1"/>
  <c r="H1658" i="5"/>
  <c r="H1657" i="5"/>
  <c r="H1659" i="5"/>
  <c r="H1579" i="5"/>
  <c r="H1522" i="5"/>
  <c r="H1506" i="5"/>
  <c r="H1507" i="5" s="1"/>
  <c r="H1498" i="5"/>
  <c r="H1499" i="5" s="1"/>
  <c r="H1485" i="5"/>
  <c r="H1486" i="5" s="1"/>
  <c r="H1523" i="5" l="1"/>
  <c r="H1524" i="5" s="1"/>
  <c r="K1522" i="5"/>
  <c r="K1523" i="5" s="1"/>
  <c r="K1524" i="5" s="1"/>
  <c r="H1489" i="5"/>
  <c r="H1490" i="5"/>
  <c r="H1674" i="5" s="1"/>
  <c r="H1470" i="5"/>
  <c r="H1471" i="5" s="1"/>
  <c r="H1463" i="5"/>
  <c r="H1464" i="5" s="1"/>
  <c r="H1458" i="5"/>
  <c r="H1459" i="5" s="1"/>
  <c r="H1145" i="5" l="1"/>
  <c r="H1146" i="5" s="1"/>
  <c r="H1138" i="5"/>
  <c r="H1139" i="5" s="1"/>
  <c r="H1077" i="5"/>
  <c r="H1078" i="5" s="1"/>
  <c r="H1293" i="5"/>
  <c r="H1294" i="5" s="1"/>
  <c r="H1286" i="5"/>
  <c r="H1287" i="5" s="1"/>
  <c r="H1273" i="5"/>
  <c r="H1276" i="5" s="1"/>
  <c r="H1277" i="5" s="1"/>
  <c r="H1266" i="5"/>
  <c r="H1267" i="5" s="1"/>
  <c r="H1305" i="5"/>
  <c r="H1312" i="5" s="1"/>
  <c r="H1313" i="5" s="1"/>
  <c r="H1351" i="5"/>
  <c r="H1355" i="5" s="1"/>
  <c r="H1432" i="5" s="1"/>
  <c r="H1346" i="5"/>
  <c r="H1354" i="5" s="1"/>
  <c r="H1329" i="5"/>
  <c r="H1337" i="5" s="1"/>
  <c r="H1334" i="5"/>
  <c r="H1335" i="5" s="1"/>
  <c r="H1321" i="5"/>
  <c r="H1322" i="5" s="1"/>
  <c r="H1253" i="5"/>
  <c r="H1257" i="5" s="1"/>
  <c r="H1418" i="5" s="1"/>
  <c r="H1242" i="5"/>
  <c r="H1243" i="5" s="1"/>
  <c r="H1235" i="5"/>
  <c r="H1236" i="5" s="1"/>
  <c r="H1223" i="5"/>
  <c r="H1222" i="5"/>
  <c r="H1221" i="5"/>
  <c r="H1220" i="5"/>
  <c r="H1219" i="5"/>
  <c r="H1218" i="5"/>
  <c r="H1217" i="5"/>
  <c r="H1208" i="5"/>
  <c r="H1209" i="5" s="1"/>
  <c r="H1188" i="5"/>
  <c r="H1177" i="5" s="1"/>
  <c r="H1183" i="5"/>
  <c r="H1197" i="5"/>
  <c r="H1198" i="5" s="1"/>
  <c r="H1173" i="5"/>
  <c r="H1174" i="5"/>
  <c r="H1175" i="5"/>
  <c r="H1176" i="5"/>
  <c r="H1178" i="5"/>
  <c r="H1163" i="5"/>
  <c r="H1164" i="5" s="1"/>
  <c r="H1118" i="5"/>
  <c r="H1117" i="5"/>
  <c r="H1116" i="5"/>
  <c r="H1115" i="5"/>
  <c r="H1114" i="5"/>
  <c r="H1113" i="5"/>
  <c r="H1112" i="5"/>
  <c r="H1111" i="5"/>
  <c r="H1110" i="5"/>
  <c r="H1109" i="5"/>
  <c r="H1108" i="5"/>
  <c r="H1107" i="5"/>
  <c r="H1106" i="5"/>
  <c r="H1100" i="5"/>
  <c r="H1394" i="5" s="1"/>
  <c r="H1092" i="5"/>
  <c r="H1093" i="5" s="1"/>
  <c r="H1070" i="5"/>
  <c r="H1071" i="5" s="1"/>
  <c r="H1054" i="5"/>
  <c r="H1053" i="5"/>
  <c r="H1052" i="5"/>
  <c r="H1051" i="5"/>
  <c r="H1050" i="5"/>
  <c r="H1049" i="5"/>
  <c r="H1048" i="5"/>
  <c r="H1047" i="5"/>
  <c r="H1046" i="5"/>
  <c r="H1045" i="5"/>
  <c r="H1044" i="5"/>
  <c r="H1027" i="5"/>
  <c r="H1024" i="5"/>
  <c r="H960" i="5" s="1"/>
  <c r="H1028" i="5"/>
  <c r="H964" i="5" s="1"/>
  <c r="H1021" i="5"/>
  <c r="H957" i="5" s="1"/>
  <c r="H1020" i="5"/>
  <c r="H956" i="5" s="1"/>
  <c r="H1019" i="5"/>
  <c r="H955" i="5" s="1"/>
  <c r="H1013" i="5"/>
  <c r="H949" i="5" s="1"/>
  <c r="H1012" i="5"/>
  <c r="H948" i="5" s="1"/>
  <c r="H1002" i="5"/>
  <c r="H1003" i="5" s="1"/>
  <c r="H994" i="5"/>
  <c r="H995" i="5" s="1"/>
  <c r="H965" i="5"/>
  <c r="H962" i="5"/>
  <c r="H961" i="5"/>
  <c r="H959" i="5"/>
  <c r="H958" i="5"/>
  <c r="H954" i="5"/>
  <c r="H953" i="5"/>
  <c r="H952" i="5"/>
  <c r="H951" i="5"/>
  <c r="H950" i="5"/>
  <c r="H947" i="5"/>
  <c r="H946" i="5"/>
  <c r="H945" i="5"/>
  <c r="H944" i="5"/>
  <c r="H943" i="5"/>
  <c r="H942" i="5"/>
  <c r="H933" i="5"/>
  <c r="H937" i="5" s="1"/>
  <c r="H1413" i="5" s="1"/>
  <c r="H928" i="5"/>
  <c r="H936" i="5" s="1"/>
  <c r="H916" i="5"/>
  <c r="H917" i="5" s="1"/>
  <c r="H911" i="5"/>
  <c r="H919" i="5" s="1"/>
  <c r="H899" i="5"/>
  <c r="H903" i="5" s="1"/>
  <c r="H1411" i="5" s="1"/>
  <c r="H894" i="5"/>
  <c r="H895" i="5" s="1"/>
  <c r="H887" i="5"/>
  <c r="H888" i="5" s="1"/>
  <c r="H873" i="5"/>
  <c r="H1410" i="5" s="1"/>
  <c r="H869" i="5"/>
  <c r="H870" i="5" s="1"/>
  <c r="H864" i="5"/>
  <c r="H872" i="5" s="1"/>
  <c r="H1389" i="5" s="1"/>
  <c r="H852" i="5"/>
  <c r="H856" i="5" s="1"/>
  <c r="H847" i="5"/>
  <c r="H855" i="5" s="1"/>
  <c r="H839" i="5"/>
  <c r="H840" i="5" s="1"/>
  <c r="H827" i="5"/>
  <c r="H831" i="5" s="1"/>
  <c r="H1406" i="5" s="1"/>
  <c r="H822" i="5"/>
  <c r="H823" i="5" s="1"/>
  <c r="H814" i="5"/>
  <c r="H815" i="5" s="1"/>
  <c r="H799" i="5"/>
  <c r="H800" i="5" s="1"/>
  <c r="H794" i="5"/>
  <c r="H795" i="5" s="1"/>
  <c r="H782" i="5"/>
  <c r="H783" i="5" s="1"/>
  <c r="H777" i="5"/>
  <c r="H778" i="5" s="1"/>
  <c r="H765" i="5"/>
  <c r="H769" i="5" s="1"/>
  <c r="H1407" i="5" s="1"/>
  <c r="H760" i="5"/>
  <c r="H761" i="5" s="1"/>
  <c r="H753" i="5"/>
  <c r="H742" i="5"/>
  <c r="H746" i="5" s="1"/>
  <c r="H1405" i="5" s="1"/>
  <c r="H737" i="5"/>
  <c r="H738" i="5" s="1"/>
  <c r="H725" i="5"/>
  <c r="H729" i="5" s="1"/>
  <c r="H1404" i="5" s="1"/>
  <c r="H720" i="5"/>
  <c r="H728" i="5" s="1"/>
  <c r="H1383" i="5" s="1"/>
  <c r="H703" i="5"/>
  <c r="H711" i="5" s="1"/>
  <c r="H1382" i="5" s="1"/>
  <c r="H708" i="5"/>
  <c r="H712" i="5" s="1"/>
  <c r="H1403" i="5" s="1"/>
  <c r="H690" i="5"/>
  <c r="H694" i="5" s="1"/>
  <c r="H1402" i="5" s="1"/>
  <c r="H685" i="5"/>
  <c r="H693" i="5" s="1"/>
  <c r="H1381" i="5" s="1"/>
  <c r="H651" i="5"/>
  <c r="H654" i="5" s="1"/>
  <c r="H658" i="5"/>
  <c r="H659" i="5" s="1"/>
  <c r="H595" i="5"/>
  <c r="H598" i="5"/>
  <c r="H597" i="5"/>
  <c r="H596" i="5"/>
  <c r="H594" i="5"/>
  <c r="H586" i="5"/>
  <c r="H590" i="5" s="1"/>
  <c r="H581" i="5"/>
  <c r="H582" i="5" s="1"/>
  <c r="H573" i="5"/>
  <c r="H574" i="5" s="1"/>
  <c r="H564" i="5"/>
  <c r="H565" i="5" s="1"/>
  <c r="H1362" i="5" l="1"/>
  <c r="H786" i="5"/>
  <c r="H1408" i="5" s="1"/>
  <c r="H1338" i="5"/>
  <c r="H900" i="5"/>
  <c r="H920" i="5"/>
  <c r="H1412" i="5" s="1"/>
  <c r="H802" i="5"/>
  <c r="H1388" i="5" s="1"/>
  <c r="H830" i="5"/>
  <c r="H853" i="5"/>
  <c r="H1166" i="5"/>
  <c r="H1395" i="5" s="1"/>
  <c r="H589" i="5"/>
  <c r="H1385" i="5"/>
  <c r="H1364" i="5" s="1"/>
  <c r="H1430" i="5"/>
  <c r="H1361" i="5"/>
  <c r="H1391" i="5"/>
  <c r="H655" i="5"/>
  <c r="H662" i="5"/>
  <c r="H1368" i="5"/>
  <c r="H1360" i="5"/>
  <c r="H691" i="5"/>
  <c r="H785" i="5"/>
  <c r="H803" i="5"/>
  <c r="H1409" i="5" s="1"/>
  <c r="H828" i="5"/>
  <c r="H938" i="5"/>
  <c r="H1096" i="5"/>
  <c r="H1097" i="5" s="1"/>
  <c r="H1101" i="5" s="1"/>
  <c r="H1296" i="5"/>
  <c r="H1297" i="5" s="1"/>
  <c r="H1392" i="5"/>
  <c r="H1371" i="5" s="1"/>
  <c r="H1429" i="5"/>
  <c r="H745" i="5"/>
  <c r="H1030" i="5"/>
  <c r="H1031" i="5" s="1"/>
  <c r="H1211" i="5"/>
  <c r="H1396" i="5" s="1"/>
  <c r="H1256" i="5"/>
  <c r="H1397" i="5" s="1"/>
  <c r="H1376" i="5" s="1"/>
  <c r="H1428" i="5"/>
  <c r="H1339" i="5"/>
  <c r="H1431" i="5" s="1"/>
  <c r="H686" i="5"/>
  <c r="H768" i="5"/>
  <c r="H902" i="5"/>
  <c r="H1390" i="5" s="1"/>
  <c r="H1369" i="5" s="1"/>
  <c r="H934" i="5"/>
  <c r="H1038" i="5"/>
  <c r="H1393" i="5" s="1"/>
  <c r="H1427" i="5"/>
  <c r="H1274" i="5"/>
  <c r="H1306" i="5"/>
  <c r="H1356" i="5"/>
  <c r="H1352" i="5"/>
  <c r="H1224" i="5"/>
  <c r="H1225" i="5" s="1"/>
  <c r="H1212" i="5"/>
  <c r="H1190" i="5"/>
  <c r="H1191" i="5" s="1"/>
  <c r="H1172" i="5"/>
  <c r="H1179" i="5" s="1"/>
  <c r="H1180" i="5" s="1"/>
  <c r="H1167" i="5"/>
  <c r="H1416" i="5" s="1"/>
  <c r="H1374" i="5" s="1"/>
  <c r="H1119" i="5"/>
  <c r="H1120" i="5"/>
  <c r="H1121" i="5" s="1"/>
  <c r="H1098" i="5"/>
  <c r="H1055" i="5"/>
  <c r="H1056" i="5" s="1"/>
  <c r="H963" i="5"/>
  <c r="H966" i="5" s="1"/>
  <c r="H967" i="5" s="1"/>
  <c r="H874" i="5"/>
  <c r="H857" i="5"/>
  <c r="H832" i="5"/>
  <c r="H730" i="5"/>
  <c r="H726" i="5"/>
  <c r="H713" i="5"/>
  <c r="H695" i="5"/>
  <c r="H663" i="5"/>
  <c r="H660" i="5"/>
  <c r="H599" i="5"/>
  <c r="H600" i="5" s="1"/>
  <c r="H591" i="5"/>
  <c r="H587" i="5"/>
  <c r="H559" i="5"/>
  <c r="H560" i="5" s="1"/>
  <c r="H552" i="5"/>
  <c r="H553" i="5" s="1"/>
  <c r="H533" i="5"/>
  <c r="H528" i="5"/>
  <c r="H514" i="5"/>
  <c r="H519" i="5" s="1"/>
  <c r="H509" i="5"/>
  <c r="H500" i="5"/>
  <c r="H487" i="5"/>
  <c r="H482" i="5"/>
  <c r="H471" i="5"/>
  <c r="H475" i="5" s="1"/>
  <c r="H477" i="5" s="1"/>
  <c r="H464" i="5"/>
  <c r="H456" i="5"/>
  <c r="H457" i="5" s="1"/>
  <c r="H444" i="5"/>
  <c r="H426" i="5"/>
  <c r="H409" i="5"/>
  <c r="H410" i="5" s="1"/>
  <c r="H393" i="5"/>
  <c r="H382" i="5"/>
  <c r="H384" i="5" s="1"/>
  <c r="H1671" i="5" s="1"/>
  <c r="H358" i="5"/>
  <c r="H359" i="5"/>
  <c r="H360" i="5"/>
  <c r="H364" i="5"/>
  <c r="H365" i="5"/>
  <c r="H366" i="5"/>
  <c r="H350" i="5"/>
  <c r="H351" i="5"/>
  <c r="H352" i="5"/>
  <c r="H338" i="5"/>
  <c r="H339" i="5" s="1"/>
  <c r="H332" i="5"/>
  <c r="H309" i="5"/>
  <c r="H303" i="5"/>
  <c r="H297" i="5"/>
  <c r="H287" i="5"/>
  <c r="H275" i="5"/>
  <c r="H371" i="5" s="1"/>
  <c r="H269" i="5"/>
  <c r="H246" i="5"/>
  <c r="H240" i="5"/>
  <c r="H217" i="5"/>
  <c r="H206" i="5"/>
  <c r="N200" i="5"/>
  <c r="O200" i="5" s="1"/>
  <c r="N170" i="5"/>
  <c r="O170" i="5" s="1"/>
  <c r="N167" i="5"/>
  <c r="O167" i="5" s="1"/>
  <c r="N165" i="5"/>
  <c r="O165" i="5" s="1"/>
  <c r="N132" i="5"/>
  <c r="O132" i="5" s="1"/>
  <c r="H84" i="5"/>
  <c r="H85" i="5" s="1"/>
  <c r="H78" i="5"/>
  <c r="H51" i="5"/>
  <c r="H52" i="5"/>
  <c r="H53" i="5"/>
  <c r="H1653" i="5" s="1"/>
  <c r="H48" i="5"/>
  <c r="H1664" i="5" s="1"/>
  <c r="H42" i="5"/>
  <c r="H17" i="5"/>
  <c r="H344" i="5" s="1"/>
  <c r="H16" i="5"/>
  <c r="H343" i="5" s="1"/>
  <c r="H15" i="5"/>
  <c r="H12" i="5"/>
  <c r="H361" i="5" s="1"/>
  <c r="H1667" i="5" s="1"/>
  <c r="H664" i="5" l="1"/>
  <c r="H1370" i="5"/>
  <c r="H370" i="5"/>
  <c r="H1433" i="5"/>
  <c r="H921" i="5"/>
  <c r="H804" i="5"/>
  <c r="H1415" i="5"/>
  <c r="H1373" i="5" s="1"/>
  <c r="H1102" i="5"/>
  <c r="H1258" i="5"/>
  <c r="H54" i="5"/>
  <c r="H1666" i="5" s="1"/>
  <c r="H388" i="5"/>
  <c r="H1034" i="5"/>
  <c r="H1035" i="5" s="1"/>
  <c r="H1036" i="5" s="1"/>
  <c r="H18" i="5"/>
  <c r="H367" i="5"/>
  <c r="H373" i="5" s="1"/>
  <c r="H1668" i="5" s="1"/>
  <c r="H1168" i="5"/>
  <c r="H770" i="5"/>
  <c r="H1386" i="5"/>
  <c r="H1365" i="5" s="1"/>
  <c r="H747" i="5"/>
  <c r="H1384" i="5"/>
  <c r="H353" i="5"/>
  <c r="H355" i="5" s="1"/>
  <c r="H342" i="5"/>
  <c r="H904" i="5"/>
  <c r="H386" i="5"/>
  <c r="H1213" i="5"/>
  <c r="H1417" i="5"/>
  <c r="H1375" i="5" s="1"/>
  <c r="H1039" i="5"/>
  <c r="H1414" i="5" s="1"/>
  <c r="H1372" i="5" s="1"/>
  <c r="H1367" i="5"/>
  <c r="H787" i="5"/>
  <c r="H1387" i="5"/>
  <c r="H1366" i="5" s="1"/>
  <c r="H532" i="5"/>
  <c r="H534" i="5" s="1"/>
  <c r="H535" i="5" s="1"/>
  <c r="H1672" i="5" s="1"/>
  <c r="H1654" i="5" l="1"/>
  <c r="H1040" i="5"/>
  <c r="H345" i="5"/>
  <c r="H347" i="5"/>
  <c r="H1665" i="5" s="1"/>
  <c r="H1419" i="5"/>
  <c r="H1422" i="5" s="1"/>
  <c r="H1363" i="5"/>
  <c r="H1377" i="5" s="1"/>
  <c r="H1398" i="5"/>
  <c r="H1421" i="5" s="1"/>
  <c r="G1636" i="5"/>
  <c r="G1624" i="5"/>
  <c r="G1621" i="5"/>
  <c r="H1423" i="5" l="1"/>
  <c r="G1625" i="5"/>
  <c r="G1648" i="5"/>
  <c r="G1655" i="5" s="1"/>
  <c r="G1656" i="5"/>
  <c r="G1657" i="5"/>
  <c r="G1658" i="5"/>
  <c r="G1659" i="5"/>
  <c r="G1293" i="5"/>
  <c r="G1294" i="5" s="1"/>
  <c r="G1286" i="5"/>
  <c r="G1287" i="5" s="1"/>
  <c r="G1273" i="5"/>
  <c r="G1274" i="5" s="1"/>
  <c r="G1266" i="5"/>
  <c r="G1267" i="5" s="1"/>
  <c r="G1579" i="5"/>
  <c r="G1523" i="5"/>
  <c r="G1524" i="5" s="1"/>
  <c r="G1163" i="5"/>
  <c r="G1164" i="5" s="1"/>
  <c r="G1145" i="5"/>
  <c r="G1146" i="5" s="1"/>
  <c r="G1138" i="5"/>
  <c r="G1118" i="5"/>
  <c r="G1117" i="5"/>
  <c r="G1116" i="5"/>
  <c r="G1115" i="5"/>
  <c r="G1114" i="5"/>
  <c r="G1113" i="5"/>
  <c r="G1112" i="5"/>
  <c r="G1111" i="5"/>
  <c r="G1110" i="5"/>
  <c r="G1109" i="5"/>
  <c r="G1108" i="5"/>
  <c r="G1107" i="5"/>
  <c r="G1106" i="5"/>
  <c r="G1077" i="5"/>
  <c r="G1078" i="5" s="1"/>
  <c r="G1092" i="5"/>
  <c r="G1093" i="5" s="1"/>
  <c r="G1070" i="5"/>
  <c r="G1071" i="5" s="1"/>
  <c r="G1044" i="5"/>
  <c r="G1045" i="5"/>
  <c r="G1046" i="5"/>
  <c r="G1047" i="5"/>
  <c r="G1048" i="5"/>
  <c r="G1049" i="5"/>
  <c r="G1050" i="5"/>
  <c r="G1051" i="5"/>
  <c r="G1052" i="5"/>
  <c r="G1053" i="5"/>
  <c r="G1054" i="5"/>
  <c r="G564" i="5"/>
  <c r="G565" i="5" s="1"/>
  <c r="G559" i="5"/>
  <c r="G560" i="5" s="1"/>
  <c r="G552" i="5"/>
  <c r="G553" i="5" s="1"/>
  <c r="G627" i="5"/>
  <c r="G630" i="5" s="1"/>
  <c r="G631" i="5" s="1"/>
  <c r="G621" i="5"/>
  <c r="G623" i="5" s="1"/>
  <c r="G624" i="5" s="1"/>
  <c r="G1470" i="5"/>
  <c r="G1471" i="5" s="1"/>
  <c r="G1463" i="5"/>
  <c r="G1464" i="5" s="1"/>
  <c r="G1458" i="5"/>
  <c r="G1459" i="5" s="1"/>
  <c r="G1448" i="5"/>
  <c r="G1449" i="5" s="1"/>
  <c r="G1506" i="5"/>
  <c r="G1507" i="5" s="1"/>
  <c r="G1498" i="5"/>
  <c r="G1499" i="5" s="1"/>
  <c r="G634" i="5" l="1"/>
  <c r="G635" i="5" s="1"/>
  <c r="G639" i="5" s="1"/>
  <c r="G1276" i="5"/>
  <c r="G1277" i="5" s="1"/>
  <c r="G1650" i="5"/>
  <c r="G1096" i="5"/>
  <c r="G1097" i="5" s="1"/>
  <c r="G1098" i="5" s="1"/>
  <c r="G1100" i="5"/>
  <c r="G1296" i="5"/>
  <c r="G1297" i="5" s="1"/>
  <c r="G1167" i="5"/>
  <c r="G1166" i="5"/>
  <c r="G1120" i="5"/>
  <c r="G1121" i="5" s="1"/>
  <c r="G1119" i="5"/>
  <c r="G1139" i="5"/>
  <c r="G1101" i="5"/>
  <c r="G1055" i="5"/>
  <c r="G1056" i="5" s="1"/>
  <c r="G638" i="5"/>
  <c r="G1485" i="5"/>
  <c r="G1490" i="5" s="1"/>
  <c r="G1674" i="5" s="1"/>
  <c r="G1673" i="5"/>
  <c r="G651" i="5"/>
  <c r="G654" i="5" s="1"/>
  <c r="G643" i="5"/>
  <c r="G647" i="5" s="1"/>
  <c r="G648" i="5" s="1"/>
  <c r="G1102" i="5" l="1"/>
  <c r="G1168" i="5"/>
  <c r="G640" i="5"/>
  <c r="G636" i="5"/>
  <c r="G658" i="5"/>
  <c r="G659" i="5" s="1"/>
  <c r="G663" i="5" s="1"/>
  <c r="G1486" i="5"/>
  <c r="G1489" i="5"/>
  <c r="G655" i="5"/>
  <c r="G662" i="5"/>
  <c r="G1394" i="5"/>
  <c r="G1395" i="5"/>
  <c r="G1415" i="5"/>
  <c r="G1416" i="5"/>
  <c r="G1427" i="5"/>
  <c r="G1428" i="5"/>
  <c r="G1351" i="5"/>
  <c r="G1355" i="5" s="1"/>
  <c r="G1432" i="5" s="1"/>
  <c r="G1346" i="5"/>
  <c r="G1354" i="5" s="1"/>
  <c r="G1333" i="5"/>
  <c r="G1334" i="5" s="1"/>
  <c r="G1338" i="5" s="1"/>
  <c r="G1329" i="5"/>
  <c r="G1337" i="5" s="1"/>
  <c r="G1321" i="5"/>
  <c r="G1322" i="5" s="1"/>
  <c r="G1305" i="5"/>
  <c r="G1312" i="5" s="1"/>
  <c r="G1313" i="5" s="1"/>
  <c r="G1228" i="5"/>
  <c r="G660" i="5" l="1"/>
  <c r="G1429" i="5"/>
  <c r="G1339" i="5"/>
  <c r="G1431" i="5" s="1"/>
  <c r="G1430" i="5"/>
  <c r="G1374" i="5"/>
  <c r="G1373" i="5"/>
  <c r="G664" i="5"/>
  <c r="G1352" i="5"/>
  <c r="G1356" i="5"/>
  <c r="G1335" i="5"/>
  <c r="G1306" i="5"/>
  <c r="G1253" i="5"/>
  <c r="G1242" i="5"/>
  <c r="G1243" i="5" s="1"/>
  <c r="G1235" i="5"/>
  <c r="G1236" i="5" s="1"/>
  <c r="G1217" i="5"/>
  <c r="G1218" i="5"/>
  <c r="G1219" i="5"/>
  <c r="G1220" i="5"/>
  <c r="G1221" i="5"/>
  <c r="G1222" i="5"/>
  <c r="G1223" i="5"/>
  <c r="G1173" i="5"/>
  <c r="G1208" i="5"/>
  <c r="G1209" i="5" s="1"/>
  <c r="G1197" i="5"/>
  <c r="G1198" i="5" s="1"/>
  <c r="G1190" i="5"/>
  <c r="G1191" i="5" s="1"/>
  <c r="G1172" i="5"/>
  <c r="G1174" i="5"/>
  <c r="G1175" i="5"/>
  <c r="G1176" i="5"/>
  <c r="G1177" i="5"/>
  <c r="G1178" i="5"/>
  <c r="G1027" i="5"/>
  <c r="G963" i="5" s="1"/>
  <c r="G1021" i="5"/>
  <c r="G957" i="5" s="1"/>
  <c r="G1020" i="5"/>
  <c r="G956" i="5" s="1"/>
  <c r="G1019" i="5"/>
  <c r="G955" i="5" s="1"/>
  <c r="G1013" i="5"/>
  <c r="G1012" i="5"/>
  <c r="G948" i="5" s="1"/>
  <c r="G1002" i="5"/>
  <c r="G1003" i="5" s="1"/>
  <c r="G994" i="5"/>
  <c r="G995" i="5" s="1"/>
  <c r="G942" i="5"/>
  <c r="G943" i="5"/>
  <c r="G944" i="5"/>
  <c r="G945" i="5"/>
  <c r="G946" i="5"/>
  <c r="G947" i="5"/>
  <c r="G950" i="5"/>
  <c r="G951" i="5"/>
  <c r="G952" i="5"/>
  <c r="G953" i="5"/>
  <c r="G954" i="5"/>
  <c r="G958" i="5"/>
  <c r="G959" i="5"/>
  <c r="G960" i="5"/>
  <c r="G961" i="5"/>
  <c r="G962" i="5"/>
  <c r="G964" i="5"/>
  <c r="G965" i="5"/>
  <c r="G928" i="5"/>
  <c r="G936" i="5" s="1"/>
  <c r="G1392" i="5" s="1"/>
  <c r="G933" i="5"/>
  <c r="G934" i="5" s="1"/>
  <c r="G911" i="5"/>
  <c r="G919" i="5" s="1"/>
  <c r="G1391" i="5" s="1"/>
  <c r="G916" i="5"/>
  <c r="G917" i="5" s="1"/>
  <c r="G898" i="5"/>
  <c r="G899" i="5" s="1"/>
  <c r="G894" i="5"/>
  <c r="G895" i="5" s="1"/>
  <c r="G887" i="5"/>
  <c r="G888" i="5" s="1"/>
  <c r="G839" i="5"/>
  <c r="G840" i="5" s="1"/>
  <c r="G864" i="5"/>
  <c r="G872" i="5" s="1"/>
  <c r="G1389" i="5" s="1"/>
  <c r="G869" i="5"/>
  <c r="G870" i="5" s="1"/>
  <c r="G873" i="5"/>
  <c r="G1410" i="5" s="1"/>
  <c r="G852" i="5"/>
  <c r="G856" i="5" s="1"/>
  <c r="G847" i="5"/>
  <c r="G855" i="5" s="1"/>
  <c r="G827" i="5"/>
  <c r="G831" i="5" s="1"/>
  <c r="G822" i="5"/>
  <c r="G823" i="5" s="1"/>
  <c r="G814" i="5"/>
  <c r="G815" i="5" s="1"/>
  <c r="G799" i="5"/>
  <c r="G800" i="5" s="1"/>
  <c r="G794" i="5"/>
  <c r="G795" i="5" s="1"/>
  <c r="G303" i="5"/>
  <c r="G782" i="5"/>
  <c r="G786" i="5" s="1"/>
  <c r="G1408" i="5" s="1"/>
  <c r="G777" i="5"/>
  <c r="G778" i="5" s="1"/>
  <c r="G765" i="5"/>
  <c r="G769" i="5" s="1"/>
  <c r="G1407" i="5" s="1"/>
  <c r="G760" i="5"/>
  <c r="G761" i="5" s="1"/>
  <c r="G753" i="5"/>
  <c r="G742" i="5"/>
  <c r="G746" i="5" s="1"/>
  <c r="G1405" i="5" s="1"/>
  <c r="G737" i="5"/>
  <c r="G738" i="5" s="1"/>
  <c r="G725" i="5"/>
  <c r="G729" i="5" s="1"/>
  <c r="G1404" i="5" s="1"/>
  <c r="G720" i="5"/>
  <c r="G728" i="5" s="1"/>
  <c r="G1383" i="5" s="1"/>
  <c r="G708" i="5"/>
  <c r="G712" i="5" s="1"/>
  <c r="G1403" i="5" s="1"/>
  <c r="G703" i="5"/>
  <c r="G711" i="5" s="1"/>
  <c r="G1382" i="5" s="1"/>
  <c r="G690" i="5"/>
  <c r="G694" i="5" s="1"/>
  <c r="G1402" i="5" s="1"/>
  <c r="G685" i="5"/>
  <c r="G686" i="5" s="1"/>
  <c r="G607" i="5"/>
  <c r="G606" i="5"/>
  <c r="G605" i="5"/>
  <c r="G604" i="5"/>
  <c r="G598" i="5"/>
  <c r="G597" i="5"/>
  <c r="G596" i="5"/>
  <c r="G595" i="5"/>
  <c r="G612" i="5"/>
  <c r="G613" i="5" s="1"/>
  <c r="G594" i="5"/>
  <c r="G1406" i="5" l="1"/>
  <c r="G1361" i="5"/>
  <c r="G1433" i="5"/>
  <c r="G1362" i="5"/>
  <c r="G608" i="5"/>
  <c r="G609" i="5" s="1"/>
  <c r="G599" i="5"/>
  <c r="G600" i="5" s="1"/>
  <c r="G691" i="5"/>
  <c r="G903" i="5"/>
  <c r="G1411" i="5" s="1"/>
  <c r="G900" i="5"/>
  <c r="G616" i="5"/>
  <c r="G902" i="5"/>
  <c r="G1390" i="5" s="1"/>
  <c r="G830" i="5"/>
  <c r="G1385" i="5" s="1"/>
  <c r="G1364" i="5" s="1"/>
  <c r="G1368" i="5"/>
  <c r="G828" i="5"/>
  <c r="G1257" i="5"/>
  <c r="G1418" i="5" s="1"/>
  <c r="G1254" i="5"/>
  <c r="G1256" i="5"/>
  <c r="G1224" i="5"/>
  <c r="G1225" i="5" s="1"/>
  <c r="G1212" i="5"/>
  <c r="G1417" i="5" s="1"/>
  <c r="G1179" i="5"/>
  <c r="G1180" i="5" s="1"/>
  <c r="G1211" i="5"/>
  <c r="G1030" i="5"/>
  <c r="G1034" i="5" s="1"/>
  <c r="G1035" i="5" s="1"/>
  <c r="G1036" i="5" s="1"/>
  <c r="G949" i="5"/>
  <c r="G966" i="5" s="1"/>
  <c r="G967" i="5" s="1"/>
  <c r="G1038" i="5"/>
  <c r="G1393" i="5" s="1"/>
  <c r="G937" i="5"/>
  <c r="G1413" i="5" s="1"/>
  <c r="G1371" i="5" s="1"/>
  <c r="G920" i="5"/>
  <c r="G874" i="5"/>
  <c r="G853" i="5"/>
  <c r="G857" i="5"/>
  <c r="G802" i="5"/>
  <c r="G1388" i="5" s="1"/>
  <c r="G803" i="5"/>
  <c r="G1409" i="5" s="1"/>
  <c r="G785" i="5"/>
  <c r="G768" i="5"/>
  <c r="G745" i="5"/>
  <c r="G726" i="5"/>
  <c r="G730" i="5"/>
  <c r="G713" i="5"/>
  <c r="G709" i="5"/>
  <c r="G693" i="5"/>
  <c r="G614" i="5"/>
  <c r="G617" i="5"/>
  <c r="G586" i="5"/>
  <c r="G590" i="5" s="1"/>
  <c r="G581" i="5"/>
  <c r="G582" i="5" s="1"/>
  <c r="G573" i="5"/>
  <c r="G574" i="5" s="1"/>
  <c r="G533" i="5"/>
  <c r="G532" i="5"/>
  <c r="G534" i="5" s="1"/>
  <c r="G535" i="5" s="1"/>
  <c r="G1672" i="5" s="1"/>
  <c r="G528" i="5"/>
  <c r="G514" i="5"/>
  <c r="G519" i="5" s="1"/>
  <c r="G509" i="5"/>
  <c r="G500" i="5"/>
  <c r="G487" i="5"/>
  <c r="G482" i="5"/>
  <c r="G471" i="5"/>
  <c r="G475" i="5" s="1"/>
  <c r="G477" i="5" s="1"/>
  <c r="G464" i="5"/>
  <c r="G456" i="5"/>
  <c r="G457" i="5" s="1"/>
  <c r="G444" i="5"/>
  <c r="G426" i="5"/>
  <c r="G409" i="5"/>
  <c r="G410" i="5" s="1"/>
  <c r="G393" i="5"/>
  <c r="G382" i="5"/>
  <c r="G386" i="5" s="1"/>
  <c r="G366" i="5"/>
  <c r="G365" i="5"/>
  <c r="G364" i="5"/>
  <c r="G338" i="5"/>
  <c r="G339" i="5" s="1"/>
  <c r="G332" i="5"/>
  <c r="G297" i="5"/>
  <c r="G287" i="5"/>
  <c r="G269" i="5"/>
  <c r="G275" i="5"/>
  <c r="G371" i="5" s="1"/>
  <c r="G246" i="5"/>
  <c r="G240" i="5"/>
  <c r="G217" i="5"/>
  <c r="N153" i="5"/>
  <c r="O153" i="5" s="1"/>
  <c r="G206" i="5"/>
  <c r="N179" i="5"/>
  <c r="O179" i="5" s="1"/>
  <c r="N169" i="5"/>
  <c r="O169" i="5" s="1"/>
  <c r="N116" i="5"/>
  <c r="O116" i="5" s="1"/>
  <c r="N112" i="5"/>
  <c r="O112" i="5" s="1"/>
  <c r="G84" i="5"/>
  <c r="G85" i="5" s="1"/>
  <c r="G78" i="5"/>
  <c r="G1369" i="5" l="1"/>
  <c r="G938" i="5"/>
  <c r="G370" i="5"/>
  <c r="G618" i="5"/>
  <c r="G832" i="5"/>
  <c r="G589" i="5"/>
  <c r="G695" i="5"/>
  <c r="G1381" i="5"/>
  <c r="G804" i="5"/>
  <c r="G921" i="5"/>
  <c r="G1412" i="5"/>
  <c r="G1370" i="5" s="1"/>
  <c r="G747" i="5"/>
  <c r="G1384" i="5"/>
  <c r="G1363" i="5" s="1"/>
  <c r="G1367" i="5"/>
  <c r="G770" i="5"/>
  <c r="G1386" i="5"/>
  <c r="G1365" i="5" s="1"/>
  <c r="G367" i="5"/>
  <c r="G373" i="5" s="1"/>
  <c r="G1668" i="5" s="1"/>
  <c r="G587" i="5"/>
  <c r="G787" i="5"/>
  <c r="G1387" i="5"/>
  <c r="G1366" i="5" s="1"/>
  <c r="G904" i="5"/>
  <c r="G1213" i="5"/>
  <c r="G1396" i="5"/>
  <c r="G1375" i="5" s="1"/>
  <c r="G1258" i="5"/>
  <c r="G1397" i="5"/>
  <c r="G1376" i="5" s="1"/>
  <c r="G1031" i="5"/>
  <c r="G1039" i="5"/>
  <c r="G1414" i="5" s="1"/>
  <c r="G591" i="5"/>
  <c r="G384" i="5"/>
  <c r="G360" i="5"/>
  <c r="G359" i="5"/>
  <c r="G358" i="5"/>
  <c r="G352" i="5"/>
  <c r="G351" i="5"/>
  <c r="G350" i="5"/>
  <c r="G53" i="5"/>
  <c r="G1653" i="5" s="1"/>
  <c r="G52" i="5"/>
  <c r="G51" i="5"/>
  <c r="G48" i="5"/>
  <c r="G42" i="5"/>
  <c r="G17" i="5"/>
  <c r="G344" i="5" s="1"/>
  <c r="G16" i="5"/>
  <c r="G343" i="5" s="1"/>
  <c r="G15" i="5"/>
  <c r="G12" i="5"/>
  <c r="G361" i="5" s="1"/>
  <c r="G1667" i="5" s="1"/>
  <c r="F1636" i="5"/>
  <c r="F1648" i="5" s="1"/>
  <c r="F1650" i="5" s="1"/>
  <c r="F1624" i="5"/>
  <c r="F1621" i="5"/>
  <c r="F1658" i="5" s="1"/>
  <c r="G1040" i="5" l="1"/>
  <c r="G1360" i="5"/>
  <c r="G1398" i="5"/>
  <c r="G1421" i="5" s="1"/>
  <c r="G388" i="5"/>
  <c r="G1671" i="5"/>
  <c r="G353" i="5"/>
  <c r="G355" i="5" s="1"/>
  <c r="G1664" i="5"/>
  <c r="G1372" i="5"/>
  <c r="G1377" i="5" s="1"/>
  <c r="G1419" i="5"/>
  <c r="G1422" i="5" s="1"/>
  <c r="G18" i="5"/>
  <c r="G347" i="5" s="1"/>
  <c r="G1665" i="5" s="1"/>
  <c r="G54" i="5"/>
  <c r="G342" i="5"/>
  <c r="F1625" i="5"/>
  <c r="F1655" i="5"/>
  <c r="F1656" i="5"/>
  <c r="F1657" i="5"/>
  <c r="F1659" i="5"/>
  <c r="G1423" i="5" l="1"/>
  <c r="G1666" i="5"/>
  <c r="G1654" i="5"/>
  <c r="G345" i="5"/>
  <c r="F1293" i="5"/>
  <c r="F1286" i="5"/>
  <c r="F1287" i="5" s="1"/>
  <c r="F1294" i="5" l="1"/>
  <c r="F1136" i="5" l="1"/>
  <c r="F1132" i="5"/>
  <c r="F1130" i="5"/>
  <c r="F1124" i="5"/>
  <c r="F1064" i="5"/>
  <c r="F1060" i="5"/>
  <c r="F1273" i="5"/>
  <c r="F1276" i="5" s="1"/>
  <c r="F1277" i="5" s="1"/>
  <c r="F1266" i="5"/>
  <c r="F1267" i="5" s="1"/>
  <c r="F1274" i="5" l="1"/>
  <c r="F1296" i="5"/>
  <c r="F1297" i="5" s="1"/>
  <c r="F627" i="5" l="1"/>
  <c r="F630" i="5" s="1"/>
  <c r="F1458" i="5"/>
  <c r="F1459" i="5" s="1"/>
  <c r="F1448" i="5"/>
  <c r="F1449" i="5" s="1"/>
  <c r="F1673" i="5" s="1"/>
  <c r="F631" i="5" l="1"/>
  <c r="F638" i="5"/>
  <c r="F1579" i="5"/>
  <c r="F1305" i="5"/>
  <c r="F1312" i="5" s="1"/>
  <c r="F1313" i="5" s="1"/>
  <c r="F1523" i="5"/>
  <c r="F1524" i="5" s="1"/>
  <c r="F1306" i="5" l="1"/>
  <c r="F1485" i="5"/>
  <c r="F1490" i="5" s="1"/>
  <c r="F1674" i="5" s="1"/>
  <c r="F1486" i="5" l="1"/>
  <c r="F1489" i="5"/>
  <c r="F1470" i="5" l="1"/>
  <c r="F1471" i="5" s="1"/>
  <c r="F1463" i="5"/>
  <c r="F1464" i="5" s="1"/>
  <c r="F1506" i="5"/>
  <c r="F1507" i="5" s="1"/>
  <c r="F1498" i="5"/>
  <c r="F1499" i="5" s="1"/>
  <c r="F1427" i="5"/>
  <c r="F1428" i="5"/>
  <c r="F1429" i="5"/>
  <c r="F1351" i="5"/>
  <c r="F1355" i="5" s="1"/>
  <c r="F1432" i="5" s="1"/>
  <c r="F1346" i="5"/>
  <c r="F1354" i="5" s="1"/>
  <c r="F1334" i="5"/>
  <c r="F1329" i="5"/>
  <c r="F1337" i="5" s="1"/>
  <c r="F1321" i="5"/>
  <c r="F1322" i="5" s="1"/>
  <c r="F1253" i="5"/>
  <c r="F1257" i="5" s="1"/>
  <c r="F1418" i="5" s="1"/>
  <c r="F1242" i="5"/>
  <c r="F1243" i="5" s="1"/>
  <c r="F1235" i="5"/>
  <c r="F1236" i="5" s="1"/>
  <c r="F1223" i="5"/>
  <c r="F1222" i="5"/>
  <c r="F1221" i="5"/>
  <c r="F1220" i="5"/>
  <c r="F1219" i="5"/>
  <c r="F1218" i="5"/>
  <c r="F1217" i="5"/>
  <c r="F1208" i="5"/>
  <c r="F1209" i="5" s="1"/>
  <c r="F1197" i="5"/>
  <c r="F1198" i="5" s="1"/>
  <c r="F1190" i="5"/>
  <c r="F1191" i="5" s="1"/>
  <c r="F1172" i="5"/>
  <c r="F1173" i="5"/>
  <c r="F1174" i="5"/>
  <c r="F1175" i="5"/>
  <c r="F1176" i="5"/>
  <c r="F1177" i="5"/>
  <c r="F1178" i="5"/>
  <c r="F1163" i="5"/>
  <c r="F1164" i="5" s="1"/>
  <c r="F1145" i="5"/>
  <c r="F1146" i="5" s="1"/>
  <c r="F1138" i="5"/>
  <c r="F1139" i="5" s="1"/>
  <c r="F1106" i="5"/>
  <c r="F1107" i="5"/>
  <c r="F1108" i="5"/>
  <c r="F1109" i="5"/>
  <c r="F1110" i="5"/>
  <c r="F1111" i="5"/>
  <c r="F1112" i="5"/>
  <c r="F1113" i="5"/>
  <c r="F1114" i="5"/>
  <c r="F1115" i="5"/>
  <c r="F1116" i="5"/>
  <c r="F1117" i="5"/>
  <c r="F1118" i="5"/>
  <c r="F1092" i="5"/>
  <c r="F1093" i="5" s="1"/>
  <c r="F1077" i="5"/>
  <c r="F1078" i="5" s="1"/>
  <c r="F1070" i="5"/>
  <c r="F1071" i="5" s="1"/>
  <c r="F1044" i="5"/>
  <c r="F1045" i="5"/>
  <c r="F1046" i="5"/>
  <c r="F1047" i="5"/>
  <c r="F1048" i="5"/>
  <c r="F1049" i="5"/>
  <c r="F1050" i="5"/>
  <c r="F1051" i="5"/>
  <c r="F1052" i="5"/>
  <c r="F1053" i="5"/>
  <c r="F1054" i="5"/>
  <c r="F1027" i="5"/>
  <c r="F963" i="5" s="1"/>
  <c r="F1024" i="5"/>
  <c r="F960" i="5" s="1"/>
  <c r="F1020" i="5"/>
  <c r="F956" i="5" s="1"/>
  <c r="F1019" i="5"/>
  <c r="F955" i="5" s="1"/>
  <c r="F1029" i="5"/>
  <c r="F965" i="5" s="1"/>
  <c r="F1012" i="5"/>
  <c r="F948" i="5" s="1"/>
  <c r="F1002" i="5"/>
  <c r="F1003" i="5" s="1"/>
  <c r="F994" i="5"/>
  <c r="F995" i="5" s="1"/>
  <c r="F942" i="5"/>
  <c r="F943" i="5"/>
  <c r="F944" i="5"/>
  <c r="F945" i="5"/>
  <c r="F946" i="5"/>
  <c r="F947" i="5"/>
  <c r="F949" i="5"/>
  <c r="F950" i="5"/>
  <c r="F951" i="5"/>
  <c r="F952" i="5"/>
  <c r="F953" i="5"/>
  <c r="F954" i="5"/>
  <c r="F957" i="5"/>
  <c r="F958" i="5"/>
  <c r="F959" i="5"/>
  <c r="F961" i="5"/>
  <c r="F962" i="5"/>
  <c r="F964" i="5"/>
  <c r="F933" i="5"/>
  <c r="F937" i="5" s="1"/>
  <c r="F1413" i="5" s="1"/>
  <c r="F928" i="5"/>
  <c r="F936" i="5" s="1"/>
  <c r="F1392" i="5" s="1"/>
  <c r="F911" i="5"/>
  <c r="F919" i="5" s="1"/>
  <c r="F1391" i="5" s="1"/>
  <c r="F916" i="5"/>
  <c r="F917" i="5" s="1"/>
  <c r="F898" i="5"/>
  <c r="F899" i="5" s="1"/>
  <c r="F903" i="5" s="1"/>
  <c r="F1411" i="5" s="1"/>
  <c r="F894" i="5"/>
  <c r="F895" i="5" s="1"/>
  <c r="F887" i="5"/>
  <c r="F888" i="5" s="1"/>
  <c r="F873" i="5"/>
  <c r="F1410" i="5" s="1"/>
  <c r="F869" i="5"/>
  <c r="F870" i="5" s="1"/>
  <c r="F864" i="5"/>
  <c r="F872" i="5" s="1"/>
  <c r="F1389" i="5" s="1"/>
  <c r="F852" i="5"/>
  <c r="F856" i="5" s="1"/>
  <c r="F847" i="5"/>
  <c r="F855" i="5" s="1"/>
  <c r="F839" i="5"/>
  <c r="F840" i="5" s="1"/>
  <c r="F827" i="5"/>
  <c r="F828" i="5" s="1"/>
  <c r="F822" i="5"/>
  <c r="F823" i="5" s="1"/>
  <c r="F814" i="5"/>
  <c r="F815" i="5" s="1"/>
  <c r="F799" i="5"/>
  <c r="F800" i="5" s="1"/>
  <c r="F794" i="5"/>
  <c r="F795" i="5" s="1"/>
  <c r="F782" i="5"/>
  <c r="F783" i="5" s="1"/>
  <c r="F777" i="5"/>
  <c r="F778" i="5" s="1"/>
  <c r="F760" i="5"/>
  <c r="F761" i="5" s="1"/>
  <c r="F765" i="5"/>
  <c r="F769" i="5" s="1"/>
  <c r="F1407" i="5" s="1"/>
  <c r="F753" i="5"/>
  <c r="F742" i="5"/>
  <c r="F746" i="5" s="1"/>
  <c r="F1405" i="5" s="1"/>
  <c r="F737" i="5"/>
  <c r="F738" i="5" s="1"/>
  <c r="F725" i="5"/>
  <c r="F729" i="5" s="1"/>
  <c r="F1404" i="5" s="1"/>
  <c r="F720" i="5"/>
  <c r="F728" i="5" s="1"/>
  <c r="F708" i="5"/>
  <c r="F703" i="5"/>
  <c r="F711" i="5" s="1"/>
  <c r="F690" i="5"/>
  <c r="F694" i="5" s="1"/>
  <c r="F1402" i="5" s="1"/>
  <c r="F685" i="5"/>
  <c r="F686" i="5" s="1"/>
  <c r="F730" i="5" l="1"/>
  <c r="F1256" i="5"/>
  <c r="F1397" i="5" s="1"/>
  <c r="F1376" i="5" s="1"/>
  <c r="F1356" i="5"/>
  <c r="F1382" i="5"/>
  <c r="F1371" i="5"/>
  <c r="F1368" i="5"/>
  <c r="F1212" i="5"/>
  <c r="F1417" i="5" s="1"/>
  <c r="F726" i="5"/>
  <c r="F831" i="5"/>
  <c r="F1406" i="5" s="1"/>
  <c r="F1383" i="5"/>
  <c r="F693" i="5"/>
  <c r="F1381" i="5" s="1"/>
  <c r="F1360" i="5" s="1"/>
  <c r="F712" i="5"/>
  <c r="F1403" i="5" s="1"/>
  <c r="F900" i="5"/>
  <c r="F902" i="5"/>
  <c r="F1390" i="5" s="1"/>
  <c r="F1369" i="5" s="1"/>
  <c r="F1430" i="5"/>
  <c r="F768" i="5"/>
  <c r="F1167" i="5"/>
  <c r="F1416" i="5" s="1"/>
  <c r="F1166" i="5"/>
  <c r="F1395" i="5" s="1"/>
  <c r="F1120" i="5"/>
  <c r="F1121" i="5" s="1"/>
  <c r="F1119" i="5"/>
  <c r="F1100" i="5"/>
  <c r="F1394" i="5" s="1"/>
  <c r="F1055" i="5"/>
  <c r="F1056" i="5" s="1"/>
  <c r="F1362" i="5"/>
  <c r="F1352" i="5"/>
  <c r="F1338" i="5"/>
  <c r="F1339" i="5" s="1"/>
  <c r="F1431" i="5" s="1"/>
  <c r="F1335" i="5"/>
  <c r="F1258" i="5"/>
  <c r="F1224" i="5"/>
  <c r="F1225" i="5" s="1"/>
  <c r="F1211" i="5"/>
  <c r="F1179" i="5"/>
  <c r="F1180" i="5" s="1"/>
  <c r="F1096" i="5"/>
  <c r="F1097" i="5" s="1"/>
  <c r="F1038" i="5"/>
  <c r="F1393" i="5" s="1"/>
  <c r="F1030" i="5"/>
  <c r="F1031" i="5" s="1"/>
  <c r="F966" i="5"/>
  <c r="F967" i="5" s="1"/>
  <c r="F934" i="5"/>
  <c r="F920" i="5"/>
  <c r="F1412" i="5" s="1"/>
  <c r="F1370" i="5" s="1"/>
  <c r="F938" i="5"/>
  <c r="F904" i="5"/>
  <c r="F874" i="5"/>
  <c r="F830" i="5"/>
  <c r="F785" i="5"/>
  <c r="F1387" i="5" s="1"/>
  <c r="F802" i="5"/>
  <c r="F691" i="5"/>
  <c r="F745" i="5"/>
  <c r="F1384" i="5" s="1"/>
  <c r="F1363" i="5" s="1"/>
  <c r="F786" i="5"/>
  <c r="F803" i="5"/>
  <c r="F1409" i="5" s="1"/>
  <c r="F857" i="5"/>
  <c r="F747" i="5"/>
  <c r="F695" i="5" l="1"/>
  <c r="F1433" i="5"/>
  <c r="F1361" i="5"/>
  <c r="F921" i="5"/>
  <c r="F832" i="5"/>
  <c r="F1385" i="5"/>
  <c r="F1364" i="5" s="1"/>
  <c r="F787" i="5"/>
  <c r="F1408" i="5"/>
  <c r="F1366" i="5" s="1"/>
  <c r="F1213" i="5"/>
  <c r="F1396" i="5"/>
  <c r="F1375" i="5" s="1"/>
  <c r="F713" i="5"/>
  <c r="F804" i="5"/>
  <c r="F1388" i="5"/>
  <c r="F1367" i="5" s="1"/>
  <c r="F770" i="5"/>
  <c r="F1386" i="5"/>
  <c r="F1365" i="5" s="1"/>
  <c r="F1374" i="5"/>
  <c r="F1168" i="5"/>
  <c r="F1098" i="5"/>
  <c r="F1101" i="5"/>
  <c r="F1039" i="5"/>
  <c r="F1034" i="5"/>
  <c r="F1035" i="5" s="1"/>
  <c r="F1036" i="5" s="1"/>
  <c r="F651" i="5"/>
  <c r="F654" i="5" s="1"/>
  <c r="F643" i="5"/>
  <c r="F647" i="5" s="1"/>
  <c r="F648" i="5" s="1"/>
  <c r="F1040" i="5" l="1"/>
  <c r="F1414" i="5"/>
  <c r="F1372" i="5" s="1"/>
  <c r="F1398" i="5"/>
  <c r="F1421" i="5" s="1"/>
  <c r="F1102" i="5"/>
  <c r="F1415" i="5"/>
  <c r="F655" i="5"/>
  <c r="F662" i="5"/>
  <c r="F658" i="5"/>
  <c r="F659" i="5" s="1"/>
  <c r="F663" i="5" s="1"/>
  <c r="F621" i="5"/>
  <c r="F612" i="5"/>
  <c r="F613" i="5" s="1"/>
  <c r="F607" i="5"/>
  <c r="F606" i="5"/>
  <c r="F605" i="5"/>
  <c r="F604" i="5"/>
  <c r="F595" i="5"/>
  <c r="F598" i="5"/>
  <c r="F597" i="5"/>
  <c r="F596" i="5"/>
  <c r="F594" i="5"/>
  <c r="F586" i="5"/>
  <c r="F590" i="5" s="1"/>
  <c r="F581" i="5"/>
  <c r="F582" i="5" s="1"/>
  <c r="F573" i="5"/>
  <c r="F574" i="5" s="1"/>
  <c r="F564" i="5"/>
  <c r="F565" i="5" s="1"/>
  <c r="F559" i="5"/>
  <c r="F560" i="5" s="1"/>
  <c r="F552" i="5"/>
  <c r="F553" i="5" s="1"/>
  <c r="F528" i="5"/>
  <c r="F514" i="5"/>
  <c r="F519" i="5" s="1"/>
  <c r="F509" i="5"/>
  <c r="F500" i="5"/>
  <c r="F487" i="5"/>
  <c r="F482" i="5"/>
  <c r="F471" i="5"/>
  <c r="F475" i="5" s="1"/>
  <c r="F477" i="5" s="1"/>
  <c r="F464" i="5"/>
  <c r="F456" i="5"/>
  <c r="F457" i="5" s="1"/>
  <c r="F444" i="5"/>
  <c r="F426" i="5"/>
  <c r="F409" i="5"/>
  <c r="F410" i="5" s="1"/>
  <c r="F393" i="5"/>
  <c r="F382" i="5"/>
  <c r="F386" i="5" s="1"/>
  <c r="F364" i="5"/>
  <c r="F365" i="5"/>
  <c r="F366" i="5"/>
  <c r="F360" i="5"/>
  <c r="F359" i="5"/>
  <c r="F358" i="5"/>
  <c r="F352" i="5"/>
  <c r="F351" i="5"/>
  <c r="F350" i="5"/>
  <c r="F338" i="5"/>
  <c r="F339" i="5" s="1"/>
  <c r="N325" i="5"/>
  <c r="O325" i="5" s="1"/>
  <c r="N262" i="5"/>
  <c r="O262" i="5" s="1"/>
  <c r="N233" i="5"/>
  <c r="O233" i="5" s="1"/>
  <c r="N70" i="5"/>
  <c r="O70" i="5" s="1"/>
  <c r="N34" i="5"/>
  <c r="O34" i="5" s="1"/>
  <c r="F332" i="5"/>
  <c r="F309" i="5"/>
  <c r="F303" i="5"/>
  <c r="F297" i="5"/>
  <c r="F287" i="5"/>
  <c r="F275" i="5"/>
  <c r="F371" i="5" s="1"/>
  <c r="F269" i="5"/>
  <c r="F246" i="5"/>
  <c r="F240" i="5"/>
  <c r="F217" i="5"/>
  <c r="F206" i="5"/>
  <c r="N187" i="5"/>
  <c r="O187" i="5" s="1"/>
  <c r="N155" i="5"/>
  <c r="O155" i="5" s="1"/>
  <c r="N139" i="5"/>
  <c r="O139" i="5" s="1"/>
  <c r="N135" i="5"/>
  <c r="O135" i="5" s="1"/>
  <c r="N133" i="5"/>
  <c r="O133" i="5" s="1"/>
  <c r="N125" i="5"/>
  <c r="O125" i="5" s="1"/>
  <c r="N91" i="5"/>
  <c r="O91" i="5" s="1"/>
  <c r="N92" i="5"/>
  <c r="O92" i="5" s="1"/>
  <c r="N93" i="5"/>
  <c r="O93" i="5" s="1"/>
  <c r="N95" i="5"/>
  <c r="O95" i="5" s="1"/>
  <c r="N96" i="5"/>
  <c r="O96" i="5" s="1"/>
  <c r="N97" i="5"/>
  <c r="O97" i="5" s="1"/>
  <c r="N99" i="5"/>
  <c r="O99" i="5" s="1"/>
  <c r="N100" i="5"/>
  <c r="O100" i="5" s="1"/>
  <c r="N101" i="5"/>
  <c r="O101" i="5" s="1"/>
  <c r="N102" i="5"/>
  <c r="O102" i="5" s="1"/>
  <c r="N103" i="5"/>
  <c r="O103" i="5" s="1"/>
  <c r="N104" i="5"/>
  <c r="O104" i="5" s="1"/>
  <c r="N105" i="5"/>
  <c r="O105" i="5" s="1"/>
  <c r="N106" i="5"/>
  <c r="O106" i="5" s="1"/>
  <c r="N107" i="5"/>
  <c r="O107" i="5" s="1"/>
  <c r="N108" i="5"/>
  <c r="O108" i="5" s="1"/>
  <c r="N109" i="5"/>
  <c r="O109" i="5" s="1"/>
  <c r="N111" i="5"/>
  <c r="O111" i="5" s="1"/>
  <c r="F84" i="5"/>
  <c r="F85" i="5" s="1"/>
  <c r="F78" i="5"/>
  <c r="F51" i="5"/>
  <c r="F52" i="5"/>
  <c r="F53" i="5"/>
  <c r="F1653" i="5" s="1"/>
  <c r="F48" i="5"/>
  <c r="F42" i="5"/>
  <c r="F17" i="5"/>
  <c r="F344" i="5" s="1"/>
  <c r="F16" i="5"/>
  <c r="F343" i="5" s="1"/>
  <c r="F15" i="5"/>
  <c r="F342" i="5" s="1"/>
  <c r="F12" i="5"/>
  <c r="F361" i="5" l="1"/>
  <c r="F1667" i="5" s="1"/>
  <c r="F664" i="5"/>
  <c r="F370" i="5"/>
  <c r="F608" i="5"/>
  <c r="F616" i="5" s="1"/>
  <c r="F353" i="5"/>
  <c r="F355" i="5" s="1"/>
  <c r="F1664" i="5"/>
  <c r="F623" i="5"/>
  <c r="F624" i="5" s="1"/>
  <c r="F634" i="5"/>
  <c r="F635" i="5" s="1"/>
  <c r="F367" i="5"/>
  <c r="F373" i="5" s="1"/>
  <c r="F1668" i="5" s="1"/>
  <c r="F660" i="5"/>
  <c r="F1419" i="5"/>
  <c r="F1422" i="5" s="1"/>
  <c r="F1423" i="5" s="1"/>
  <c r="F1373" i="5"/>
  <c r="F1377" i="5" s="1"/>
  <c r="F617" i="5"/>
  <c r="F614" i="5"/>
  <c r="F589" i="5"/>
  <c r="F591" i="5" s="1"/>
  <c r="F599" i="5"/>
  <c r="F600" i="5" s="1"/>
  <c r="F587" i="5"/>
  <c r="F533" i="5"/>
  <c r="F532" i="5"/>
  <c r="F384" i="5"/>
  <c r="F54" i="5"/>
  <c r="F18" i="5"/>
  <c r="E1636" i="5"/>
  <c r="E1648" i="5" s="1"/>
  <c r="E1624" i="5"/>
  <c r="E1621" i="5"/>
  <c r="E1657" i="5" s="1"/>
  <c r="F609" i="5" l="1"/>
  <c r="F534" i="5"/>
  <c r="F535" i="5" s="1"/>
  <c r="F1672" i="5" s="1"/>
  <c r="F1654" i="5"/>
  <c r="F1666" i="5"/>
  <c r="F636" i="5"/>
  <c r="F639" i="5"/>
  <c r="F640" i="5" s="1"/>
  <c r="F388" i="5"/>
  <c r="F1671" i="5"/>
  <c r="F618" i="5"/>
  <c r="F347" i="5"/>
  <c r="F1665" i="5" s="1"/>
  <c r="F345" i="5"/>
  <c r="E1658" i="5"/>
  <c r="E1625" i="5"/>
  <c r="E1655" i="5"/>
  <c r="E1650" i="5"/>
  <c r="E1659" i="5"/>
  <c r="E1656" i="5"/>
  <c r="E1579" i="5" l="1"/>
  <c r="E1523" i="5"/>
  <c r="E1524" i="5" s="1"/>
  <c r="E1163" i="5" l="1"/>
  <c r="E1164" i="5" s="1"/>
  <c r="E1136" i="5"/>
  <c r="E1118" i="5" s="1"/>
  <c r="E1132" i="5"/>
  <c r="E1114" i="5" s="1"/>
  <c r="E1124" i="5"/>
  <c r="E1145" i="5"/>
  <c r="E1146" i="5" s="1"/>
  <c r="E1107" i="5"/>
  <c r="E1108" i="5"/>
  <c r="E1109" i="5"/>
  <c r="E1110" i="5"/>
  <c r="E1111" i="5"/>
  <c r="E1112" i="5"/>
  <c r="E1113" i="5"/>
  <c r="E1115" i="5"/>
  <c r="E1116" i="5"/>
  <c r="E1117" i="5"/>
  <c r="E1092" i="5"/>
  <c r="E1093" i="5" s="1"/>
  <c r="E1077" i="5"/>
  <c r="E1078" i="5" s="1"/>
  <c r="E1070" i="5"/>
  <c r="E1071" i="5" s="1"/>
  <c r="E1054" i="5"/>
  <c r="E1053" i="5"/>
  <c r="E1052" i="5"/>
  <c r="E1051" i="5"/>
  <c r="E1050" i="5"/>
  <c r="E1049" i="5"/>
  <c r="E1048" i="5"/>
  <c r="E1047" i="5"/>
  <c r="E1046" i="5"/>
  <c r="E1045" i="5"/>
  <c r="E1044" i="5"/>
  <c r="E1506" i="5"/>
  <c r="E1507" i="5" s="1"/>
  <c r="E1498" i="5"/>
  <c r="E1499" i="5" s="1"/>
  <c r="E1485" i="5"/>
  <c r="E1490" i="5" s="1"/>
  <c r="E1096" i="5" l="1"/>
  <c r="E1097" i="5" s="1"/>
  <c r="E1101" i="5" s="1"/>
  <c r="E1100" i="5"/>
  <c r="E1166" i="5"/>
  <c r="E1167" i="5"/>
  <c r="E1138" i="5"/>
  <c r="E1139" i="5" s="1"/>
  <c r="E1106" i="5"/>
  <c r="E1120" i="5" s="1"/>
  <c r="E1121" i="5" s="1"/>
  <c r="E1055" i="5"/>
  <c r="E1056" i="5" s="1"/>
  <c r="E1486" i="5"/>
  <c r="E1489" i="5"/>
  <c r="E1168" i="5" l="1"/>
  <c r="E1098" i="5"/>
  <c r="E1102" i="5"/>
  <c r="E1119" i="5"/>
  <c r="E1458" i="5"/>
  <c r="E1459" i="5" s="1"/>
  <c r="E1448" i="5"/>
  <c r="E1449" i="5" s="1"/>
  <c r="E628" i="5"/>
  <c r="E630" i="5" s="1"/>
  <c r="E638" i="5" s="1"/>
  <c r="E621" i="5"/>
  <c r="E634" i="5" s="1"/>
  <c r="E635" i="5" s="1"/>
  <c r="E623" i="5" l="1"/>
  <c r="E624" i="5" s="1"/>
  <c r="E636" i="5"/>
  <c r="E639" i="5"/>
  <c r="E640" i="5" s="1"/>
  <c r="E631" i="5"/>
  <c r="E1470" i="5"/>
  <c r="E1471" i="5" s="1"/>
  <c r="E1463" i="5"/>
  <c r="E1464" i="5" s="1"/>
  <c r="E604" i="5"/>
  <c r="E607" i="5"/>
  <c r="E606" i="5"/>
  <c r="E605" i="5"/>
  <c r="E595" i="5"/>
  <c r="E594" i="5"/>
  <c r="E612" i="5" s="1"/>
  <c r="E613" i="5" s="1"/>
  <c r="E1673" i="5"/>
  <c r="E1674" i="5"/>
  <c r="E1394" i="5"/>
  <c r="E1395" i="5"/>
  <c r="E1415" i="5"/>
  <c r="E1416" i="5"/>
  <c r="E1351" i="5"/>
  <c r="E1355" i="5" s="1"/>
  <c r="E1432" i="5" s="1"/>
  <c r="E1346" i="5"/>
  <c r="E1354" i="5" s="1"/>
  <c r="E1333" i="5"/>
  <c r="E1334" i="5" s="1"/>
  <c r="E1329" i="5"/>
  <c r="E1337" i="5" s="1"/>
  <c r="E1321" i="5"/>
  <c r="E1322" i="5" s="1"/>
  <c r="E1305" i="5"/>
  <c r="E1312" i="5" s="1"/>
  <c r="E1313" i="5" s="1"/>
  <c r="E1293" i="5"/>
  <c r="E1428" i="5" s="1"/>
  <c r="E1286" i="5"/>
  <c r="E1287" i="5" s="1"/>
  <c r="E1273" i="5"/>
  <c r="E1274" i="5" s="1"/>
  <c r="E1266" i="5"/>
  <c r="E1267" i="5" s="1"/>
  <c r="E1253" i="5"/>
  <c r="E1257" i="5" s="1"/>
  <c r="E1418" i="5" s="1"/>
  <c r="E1242" i="5"/>
  <c r="E1235" i="5"/>
  <c r="E1223" i="5"/>
  <c r="E1221" i="5"/>
  <c r="E1219" i="5"/>
  <c r="E1218" i="5"/>
  <c r="E1208" i="5"/>
  <c r="E1209" i="5" s="1"/>
  <c r="E1373" i="5" l="1"/>
  <c r="E1224" i="5"/>
  <c r="E614" i="5"/>
  <c r="E617" i="5"/>
  <c r="E1430" i="5"/>
  <c r="E1429" i="5"/>
  <c r="E608" i="5"/>
  <c r="E616" i="5" s="1"/>
  <c r="E599" i="5"/>
  <c r="E600" i="5" s="1"/>
  <c r="E1212" i="5"/>
  <c r="E1417" i="5" s="1"/>
  <c r="E1296" i="5"/>
  <c r="E1297" i="5" s="1"/>
  <c r="E1427" i="5"/>
  <c r="E1374" i="5"/>
  <c r="E1356" i="5"/>
  <c r="E1352" i="5"/>
  <c r="E1338" i="5"/>
  <c r="E1339" i="5" s="1"/>
  <c r="E1431" i="5" s="1"/>
  <c r="E1335" i="5"/>
  <c r="E1306" i="5"/>
  <c r="E1294" i="5"/>
  <c r="E1276" i="5"/>
  <c r="E1277" i="5" s="1"/>
  <c r="E1256" i="5"/>
  <c r="E1188" i="5"/>
  <c r="E1177" i="5" s="1"/>
  <c r="E1184" i="5"/>
  <c r="E1173" i="5" s="1"/>
  <c r="E1197" i="5"/>
  <c r="E1172" i="5"/>
  <c r="E1174" i="5"/>
  <c r="E1175" i="5"/>
  <c r="E1176" i="5"/>
  <c r="E1178" i="5"/>
  <c r="E1027" i="5"/>
  <c r="E963" i="5" s="1"/>
  <c r="E1020" i="5"/>
  <c r="E1022" i="5"/>
  <c r="E958" i="5" s="1"/>
  <c r="E1002" i="5"/>
  <c r="E1003" i="5" s="1"/>
  <c r="E994" i="5"/>
  <c r="E995" i="5" s="1"/>
  <c r="E942" i="5"/>
  <c r="E943" i="5"/>
  <c r="E944" i="5"/>
  <c r="E945" i="5"/>
  <c r="E946" i="5"/>
  <c r="E947" i="5"/>
  <c r="E948" i="5"/>
  <c r="E949" i="5"/>
  <c r="E950" i="5"/>
  <c r="E951" i="5"/>
  <c r="E952" i="5"/>
  <c r="E953" i="5"/>
  <c r="E954" i="5"/>
  <c r="E955" i="5"/>
  <c r="E957" i="5"/>
  <c r="E959" i="5"/>
  <c r="E960" i="5"/>
  <c r="E961" i="5"/>
  <c r="E962" i="5"/>
  <c r="E964" i="5"/>
  <c r="E965" i="5"/>
  <c r="E928" i="5"/>
  <c r="E936" i="5" s="1"/>
  <c r="E933" i="5"/>
  <c r="E934" i="5" s="1"/>
  <c r="E916" i="5"/>
  <c r="E920" i="5" s="1"/>
  <c r="E1412" i="5" s="1"/>
  <c r="E911" i="5"/>
  <c r="E919" i="5" s="1"/>
  <c r="E1391" i="5" s="1"/>
  <c r="E899" i="5"/>
  <c r="E900" i="5" s="1"/>
  <c r="E894" i="5"/>
  <c r="E895" i="5" s="1"/>
  <c r="E887" i="5"/>
  <c r="E888" i="5" s="1"/>
  <c r="E873" i="5"/>
  <c r="E1410" i="5" s="1"/>
  <c r="E869" i="5"/>
  <c r="E870" i="5" s="1"/>
  <c r="E864" i="5"/>
  <c r="E872" i="5" s="1"/>
  <c r="E1389" i="5" s="1"/>
  <c r="E852" i="5"/>
  <c r="E856" i="5" s="1"/>
  <c r="E847" i="5"/>
  <c r="E855" i="5" s="1"/>
  <c r="E839" i="5"/>
  <c r="E840" i="5" s="1"/>
  <c r="E827" i="5"/>
  <c r="E831" i="5" s="1"/>
  <c r="E822" i="5"/>
  <c r="E823" i="5" s="1"/>
  <c r="E814" i="5"/>
  <c r="E815" i="5" s="1"/>
  <c r="E799" i="5"/>
  <c r="E803" i="5" s="1"/>
  <c r="E1409" i="5" s="1"/>
  <c r="E794" i="5"/>
  <c r="E795" i="5" s="1"/>
  <c r="E782" i="5"/>
  <c r="E783" i="5" s="1"/>
  <c r="E777" i="5"/>
  <c r="E778" i="5" s="1"/>
  <c r="E765" i="5"/>
  <c r="E769" i="5" s="1"/>
  <c r="E1407" i="5" s="1"/>
  <c r="E760" i="5"/>
  <c r="E761" i="5" s="1"/>
  <c r="E753" i="5"/>
  <c r="E742" i="5"/>
  <c r="E746" i="5" s="1"/>
  <c r="E1405" i="5" s="1"/>
  <c r="E737" i="5"/>
  <c r="E745" i="5" s="1"/>
  <c r="E725" i="5"/>
  <c r="E726" i="5" s="1"/>
  <c r="E720" i="5"/>
  <c r="E728" i="5" s="1"/>
  <c r="E1383" i="5" s="1"/>
  <c r="E708" i="5"/>
  <c r="E712" i="5" s="1"/>
  <c r="E1403" i="5" s="1"/>
  <c r="E703" i="5"/>
  <c r="E711" i="5" s="1"/>
  <c r="E586" i="5"/>
  <c r="E590" i="5" s="1"/>
  <c r="E581" i="5"/>
  <c r="E582" i="5" s="1"/>
  <c r="E573" i="5"/>
  <c r="E574" i="5" s="1"/>
  <c r="E652" i="5"/>
  <c r="E654" i="5" s="1"/>
  <c r="E643" i="5"/>
  <c r="E658" i="5" s="1"/>
  <c r="E659" i="5" s="1"/>
  <c r="E609" i="5" l="1"/>
  <c r="E857" i="5"/>
  <c r="E1370" i="5"/>
  <c r="E902" i="5"/>
  <c r="E1390" i="5" s="1"/>
  <c r="E1030" i="5"/>
  <c r="E1034" i="5" s="1"/>
  <c r="E1035" i="5" s="1"/>
  <c r="E1036" i="5" s="1"/>
  <c r="E618" i="5"/>
  <c r="E937" i="5"/>
  <c r="E1413" i="5" s="1"/>
  <c r="E1190" i="5"/>
  <c r="E1191" i="5" s="1"/>
  <c r="E786" i="5"/>
  <c r="E1408" i="5" s="1"/>
  <c r="E1406" i="5"/>
  <c r="E956" i="5"/>
  <c r="E966" i="5" s="1"/>
  <c r="E967" i="5" s="1"/>
  <c r="E1433" i="5"/>
  <c r="E655" i="5"/>
  <c r="E662" i="5"/>
  <c r="E663" i="5"/>
  <c r="E660" i="5"/>
  <c r="E1392" i="5"/>
  <c r="E903" i="5"/>
  <c r="E1038" i="5"/>
  <c r="E1258" i="5"/>
  <c r="E1397" i="5"/>
  <c r="E1376" i="5" s="1"/>
  <c r="E713" i="5"/>
  <c r="E1382" i="5"/>
  <c r="E1361" i="5" s="1"/>
  <c r="E1368" i="5"/>
  <c r="E747" i="5"/>
  <c r="E1384" i="5"/>
  <c r="E1363" i="5" s="1"/>
  <c r="E647" i="5"/>
  <c r="E648" i="5" s="1"/>
  <c r="E589" i="5"/>
  <c r="E591" i="5" s="1"/>
  <c r="E802" i="5"/>
  <c r="E1388" i="5" s="1"/>
  <c r="E1367" i="5" s="1"/>
  <c r="E1198" i="5"/>
  <c r="E1211" i="5"/>
  <c r="E1179" i="5"/>
  <c r="E1180" i="5" s="1"/>
  <c r="E921" i="5"/>
  <c r="E917" i="5"/>
  <c r="E874" i="5"/>
  <c r="E830" i="5"/>
  <c r="E785" i="5"/>
  <c r="E768" i="5"/>
  <c r="E738" i="5"/>
  <c r="E729" i="5"/>
  <c r="E587" i="5"/>
  <c r="E528" i="5"/>
  <c r="E514" i="5"/>
  <c r="E519" i="5" s="1"/>
  <c r="E509" i="5"/>
  <c r="E500" i="5"/>
  <c r="E487" i="5"/>
  <c r="E482" i="5"/>
  <c r="E471" i="5"/>
  <c r="E475" i="5" s="1"/>
  <c r="E477" i="5" s="1"/>
  <c r="E464" i="5"/>
  <c r="E456" i="5"/>
  <c r="E457" i="5" s="1"/>
  <c r="E444" i="5"/>
  <c r="E426" i="5"/>
  <c r="E409" i="5"/>
  <c r="E410" i="5" s="1"/>
  <c r="E664" i="5" l="1"/>
  <c r="E1031" i="5"/>
  <c r="E1039" i="5"/>
  <c r="E1414" i="5" s="1"/>
  <c r="E1371" i="5"/>
  <c r="E938" i="5"/>
  <c r="E904" i="5"/>
  <c r="E1411" i="5"/>
  <c r="E1369" i="5" s="1"/>
  <c r="E787" i="5"/>
  <c r="E1387" i="5"/>
  <c r="E1366" i="5" s="1"/>
  <c r="E1393" i="5"/>
  <c r="E730" i="5"/>
  <c r="E1404" i="5"/>
  <c r="E1362" i="5" s="1"/>
  <c r="E804" i="5"/>
  <c r="E1213" i="5"/>
  <c r="E1396" i="5"/>
  <c r="E1375" i="5" s="1"/>
  <c r="E770" i="5"/>
  <c r="E1386" i="5"/>
  <c r="E1365" i="5" s="1"/>
  <c r="E832" i="5"/>
  <c r="E1385" i="5"/>
  <c r="E1364" i="5" s="1"/>
  <c r="E393" i="5"/>
  <c r="E382" i="5"/>
  <c r="E386" i="5" s="1"/>
  <c r="E690" i="5"/>
  <c r="E694" i="5" s="1"/>
  <c r="E1402" i="5" s="1"/>
  <c r="E685" i="5"/>
  <c r="E686" i="5" s="1"/>
  <c r="E564" i="5"/>
  <c r="E565" i="5" s="1"/>
  <c r="E559" i="5"/>
  <c r="E560" i="5" s="1"/>
  <c r="E552" i="5"/>
  <c r="E553" i="5" s="1"/>
  <c r="E366" i="5"/>
  <c r="E365" i="5"/>
  <c r="E364" i="5"/>
  <c r="E360" i="5"/>
  <c r="E359" i="5"/>
  <c r="E358" i="5"/>
  <c r="E352" i="5"/>
  <c r="E351" i="5"/>
  <c r="E350" i="5"/>
  <c r="E338" i="5"/>
  <c r="E339" i="5" s="1"/>
  <c r="E332" i="5"/>
  <c r="E309" i="5"/>
  <c r="E303" i="5"/>
  <c r="E297" i="5"/>
  <c r="E287" i="5"/>
  <c r="E275" i="5"/>
  <c r="E371" i="5" s="1"/>
  <c r="E269" i="5"/>
  <c r="E246" i="5"/>
  <c r="E240" i="5"/>
  <c r="E217" i="5"/>
  <c r="E206" i="5"/>
  <c r="N191" i="5"/>
  <c r="O191" i="5" s="1"/>
  <c r="N145" i="5"/>
  <c r="O145" i="5" s="1"/>
  <c r="N141" i="5"/>
  <c r="O141" i="5" s="1"/>
  <c r="E84" i="5"/>
  <c r="E85" i="5" s="1"/>
  <c r="E78" i="5"/>
  <c r="E48" i="5"/>
  <c r="E1664" i="5" s="1"/>
  <c r="E53" i="5"/>
  <c r="E1653" i="5" s="1"/>
  <c r="E52" i="5"/>
  <c r="E51" i="5"/>
  <c r="E42" i="5"/>
  <c r="E17" i="5"/>
  <c r="E344" i="5" s="1"/>
  <c r="E16" i="5"/>
  <c r="E343" i="5" s="1"/>
  <c r="E15" i="5"/>
  <c r="E342" i="5" s="1"/>
  <c r="E3" i="8" s="1"/>
  <c r="E12" i="5"/>
  <c r="D1636" i="5"/>
  <c r="D1648" i="5" s="1"/>
  <c r="D1650" i="5" s="1"/>
  <c r="D1624" i="5"/>
  <c r="D1621" i="5"/>
  <c r="D1658" i="5" s="1"/>
  <c r="E1372" i="5" l="1"/>
  <c r="E1040" i="5"/>
  <c r="E1419" i="5"/>
  <c r="E1422" i="5" s="1"/>
  <c r="E361" i="5"/>
  <c r="E1667" i="5" s="1"/>
  <c r="E370" i="5"/>
  <c r="E367" i="5"/>
  <c r="E373" i="5" s="1"/>
  <c r="E1668" i="5" s="1"/>
  <c r="E691" i="5"/>
  <c r="E353" i="5"/>
  <c r="E355" i="5" s="1"/>
  <c r="E384" i="5"/>
  <c r="E693" i="5"/>
  <c r="E533" i="5"/>
  <c r="E532" i="5"/>
  <c r="D1625" i="5"/>
  <c r="D1656" i="5"/>
  <c r="D1657" i="5"/>
  <c r="D1655" i="5"/>
  <c r="D1659" i="5"/>
  <c r="E18" i="5"/>
  <c r="E54" i="5"/>
  <c r="D604" i="5"/>
  <c r="D607" i="5"/>
  <c r="D606" i="5"/>
  <c r="D605" i="5"/>
  <c r="D598" i="5"/>
  <c r="D597" i="5"/>
  <c r="D596" i="5"/>
  <c r="D595" i="5"/>
  <c r="D899" i="5"/>
  <c r="D903" i="5" s="1"/>
  <c r="D894" i="5"/>
  <c r="D895" i="5" s="1"/>
  <c r="D887" i="5"/>
  <c r="D888" i="5" s="1"/>
  <c r="D902" i="5" l="1"/>
  <c r="D904" i="5" s="1"/>
  <c r="E534" i="5"/>
  <c r="E535" i="5" s="1"/>
  <c r="E1672" i="5" s="1"/>
  <c r="E1654" i="5"/>
  <c r="E1666" i="5"/>
  <c r="E695" i="5"/>
  <c r="E1381" i="5"/>
  <c r="E388" i="5"/>
  <c r="E1671" i="5"/>
  <c r="E347" i="5"/>
  <c r="E1665" i="5" s="1"/>
  <c r="E345" i="5"/>
  <c r="D900" i="5"/>
  <c r="D1163" i="5"/>
  <c r="D1136" i="5"/>
  <c r="D1132" i="5"/>
  <c r="D1114" i="5" s="1"/>
  <c r="D1130" i="5"/>
  <c r="D1112" i="5" s="1"/>
  <c r="D1124" i="5"/>
  <c r="D1143" i="5"/>
  <c r="D1145" i="5" s="1"/>
  <c r="D1092" i="5"/>
  <c r="D1093" i="5" s="1"/>
  <c r="D1070" i="5"/>
  <c r="D1071" i="5" s="1"/>
  <c r="D1077" i="5"/>
  <c r="D1078" i="5" s="1"/>
  <c r="D1117" i="5"/>
  <c r="D1116" i="5"/>
  <c r="D1115" i="5"/>
  <c r="D1113" i="5"/>
  <c r="D1111" i="5"/>
  <c r="D1110" i="5"/>
  <c r="D1109" i="5"/>
  <c r="D1108" i="5"/>
  <c r="D1107" i="5"/>
  <c r="D1470" i="5"/>
  <c r="D1471" i="5" s="1"/>
  <c r="D1463" i="5"/>
  <c r="D1464" i="5" s="1"/>
  <c r="D1548" i="5"/>
  <c r="D1579" i="5" s="1"/>
  <c r="D1523" i="5"/>
  <c r="D1524" i="5" s="1"/>
  <c r="D1506" i="5"/>
  <c r="D1507" i="5" s="1"/>
  <c r="D1498" i="5"/>
  <c r="D1499" i="5" s="1"/>
  <c r="E1360" i="5" l="1"/>
  <c r="E1377" i="5" s="1"/>
  <c r="E1398" i="5"/>
  <c r="E1421" i="5" s="1"/>
  <c r="E1423" i="5" s="1"/>
  <c r="D1096" i="5"/>
  <c r="D1097" i="5" s="1"/>
  <c r="D1098" i="5" s="1"/>
  <c r="D1146" i="5"/>
  <c r="D1166" i="5"/>
  <c r="D1164" i="5"/>
  <c r="D1167" i="5"/>
  <c r="D1100" i="5"/>
  <c r="D1138" i="5"/>
  <c r="D1139" i="5" s="1"/>
  <c r="D1106" i="5"/>
  <c r="D1118" i="5"/>
  <c r="D1485" i="5"/>
  <c r="D1490" i="5" s="1"/>
  <c r="D1674" i="5" s="1"/>
  <c r="D1101" i="5" l="1"/>
  <c r="D1102" i="5" s="1"/>
  <c r="D1168" i="5"/>
  <c r="D1119" i="5"/>
  <c r="D1120" i="5"/>
  <c r="D1121" i="5" s="1"/>
  <c r="D1486" i="5"/>
  <c r="D1489" i="5"/>
  <c r="D1458" i="5"/>
  <c r="D1459" i="5" s="1"/>
  <c r="D1448" i="5"/>
  <c r="D1449" i="5" s="1"/>
  <c r="D1673" i="5" s="1"/>
  <c r="D1394" i="5"/>
  <c r="D1395" i="5"/>
  <c r="D1411" i="5"/>
  <c r="D1416" i="5"/>
  <c r="D1346" i="5"/>
  <c r="D1354" i="5" s="1"/>
  <c r="D1351" i="5"/>
  <c r="D1352" i="5" s="1"/>
  <c r="D1334" i="5"/>
  <c r="D1338" i="5" s="1"/>
  <c r="D1329" i="5"/>
  <c r="D1337" i="5" s="1"/>
  <c r="D1321" i="5"/>
  <c r="D1322" i="5" s="1"/>
  <c r="D1305" i="5"/>
  <c r="D1312" i="5" s="1"/>
  <c r="D1313" i="5" s="1"/>
  <c r="D1293" i="5"/>
  <c r="D1286" i="5"/>
  <c r="D1287" i="5" s="1"/>
  <c r="D1273" i="5"/>
  <c r="D1276" i="5" s="1"/>
  <c r="D1277" i="5" s="1"/>
  <c r="D1266" i="5"/>
  <c r="D1267" i="5" s="1"/>
  <c r="D1253" i="5"/>
  <c r="D1257" i="5" s="1"/>
  <c r="D1418" i="5" s="1"/>
  <c r="D1235" i="5"/>
  <c r="D1236" i="5" s="1"/>
  <c r="D1242" i="5"/>
  <c r="D1243" i="5" s="1"/>
  <c r="D1217" i="5"/>
  <c r="D1218" i="5"/>
  <c r="D1219" i="5"/>
  <c r="D1220" i="5"/>
  <c r="D1221" i="5"/>
  <c r="D1222" i="5"/>
  <c r="D1223" i="5"/>
  <c r="D1208" i="5"/>
  <c r="D1212" i="5" s="1"/>
  <c r="D1417" i="5" s="1"/>
  <c r="D1184" i="5"/>
  <c r="D1190" i="5" s="1"/>
  <c r="D1191" i="5" s="1"/>
  <c r="D1197" i="5"/>
  <c r="D1198" i="5" s="1"/>
  <c r="D1172" i="5"/>
  <c r="D1174" i="5"/>
  <c r="D1175" i="5"/>
  <c r="D1176" i="5"/>
  <c r="D1177" i="5"/>
  <c r="D1178" i="5"/>
  <c r="D1415" i="5" l="1"/>
  <c r="D1427" i="5"/>
  <c r="D1211" i="5"/>
  <c r="D1396" i="5" s="1"/>
  <c r="D1375" i="5" s="1"/>
  <c r="D1256" i="5"/>
  <c r="D1397" i="5" s="1"/>
  <c r="D1376" i="5" s="1"/>
  <c r="D1374" i="5"/>
  <c r="D1296" i="5"/>
  <c r="D1297" i="5" s="1"/>
  <c r="D1428" i="5"/>
  <c r="D1173" i="5"/>
  <c r="D1179" i="5" s="1"/>
  <c r="D1180" i="5" s="1"/>
  <c r="D1373" i="5"/>
  <c r="D1430" i="5"/>
  <c r="D1429" i="5"/>
  <c r="D1355" i="5"/>
  <c r="D1432" i="5" s="1"/>
  <c r="D1339" i="5"/>
  <c r="D1431" i="5" s="1"/>
  <c r="D1335" i="5"/>
  <c r="D1306" i="5"/>
  <c r="D1294" i="5"/>
  <c r="D1274" i="5"/>
  <c r="D1224" i="5"/>
  <c r="D1225" i="5" s="1"/>
  <c r="D1209" i="5"/>
  <c r="D1258" i="5" l="1"/>
  <c r="D1213" i="5"/>
  <c r="D1356" i="5"/>
  <c r="D1433" i="5"/>
  <c r="D1054" i="5"/>
  <c r="D1053" i="5"/>
  <c r="D1052" i="5"/>
  <c r="D1051" i="5"/>
  <c r="D1050" i="5"/>
  <c r="D1049" i="5"/>
  <c r="D1048" i="5"/>
  <c r="D1047" i="5"/>
  <c r="D1046" i="5"/>
  <c r="D1045" i="5"/>
  <c r="D1044" i="5"/>
  <c r="D1027" i="5"/>
  <c r="D963" i="5" s="1"/>
  <c r="D1024" i="5"/>
  <c r="D960" i="5" s="1"/>
  <c r="D1028" i="5"/>
  <c r="D964" i="5" s="1"/>
  <c r="D1021" i="5"/>
  <c r="D957" i="5" s="1"/>
  <c r="D1020" i="5"/>
  <c r="D956" i="5" s="1"/>
  <c r="D1019" i="5"/>
  <c r="D994" i="5"/>
  <c r="D995" i="5" s="1"/>
  <c r="D1002" i="5"/>
  <c r="D1003" i="5" s="1"/>
  <c r="D965" i="5"/>
  <c r="D962" i="5"/>
  <c r="D961" i="5"/>
  <c r="D959" i="5"/>
  <c r="D958" i="5"/>
  <c r="D955" i="5"/>
  <c r="D954" i="5"/>
  <c r="D953" i="5"/>
  <c r="D952" i="5"/>
  <c r="D951" i="5"/>
  <c r="D950" i="5"/>
  <c r="D949" i="5"/>
  <c r="D948" i="5"/>
  <c r="D947" i="5"/>
  <c r="D946" i="5"/>
  <c r="D945" i="5"/>
  <c r="D944" i="5"/>
  <c r="D943" i="5"/>
  <c r="D942" i="5"/>
  <c r="D928" i="5"/>
  <c r="D936" i="5" s="1"/>
  <c r="D1392" i="5" s="1"/>
  <c r="D933" i="5"/>
  <c r="D934" i="5" s="1"/>
  <c r="D911" i="5"/>
  <c r="D919" i="5" s="1"/>
  <c r="D1391" i="5" s="1"/>
  <c r="D916" i="5"/>
  <c r="D917" i="5" s="1"/>
  <c r="D864" i="5"/>
  <c r="D872" i="5" s="1"/>
  <c r="D1389" i="5" s="1"/>
  <c r="D869" i="5"/>
  <c r="D870" i="5" s="1"/>
  <c r="D873" i="5"/>
  <c r="D1410" i="5" s="1"/>
  <c r="D852" i="5"/>
  <c r="D856" i="5" s="1"/>
  <c r="D847" i="5"/>
  <c r="D855" i="5" s="1"/>
  <c r="D839" i="5"/>
  <c r="D840" i="5" s="1"/>
  <c r="D827" i="5"/>
  <c r="D831" i="5" s="1"/>
  <c r="D822" i="5"/>
  <c r="D823" i="5" s="1"/>
  <c r="D813" i="5"/>
  <c r="D814" i="5" s="1"/>
  <c r="D815" i="5" s="1"/>
  <c r="D799" i="5"/>
  <c r="D800" i="5" s="1"/>
  <c r="D794" i="5"/>
  <c r="D795" i="5" s="1"/>
  <c r="D777" i="5"/>
  <c r="D778" i="5" s="1"/>
  <c r="D782" i="5"/>
  <c r="D786" i="5" s="1"/>
  <c r="D1408" i="5" s="1"/>
  <c r="D765" i="5"/>
  <c r="D769" i="5" s="1"/>
  <c r="D1407" i="5" s="1"/>
  <c r="D760" i="5"/>
  <c r="D761" i="5" s="1"/>
  <c r="D753" i="5"/>
  <c r="D742" i="5"/>
  <c r="D746" i="5" s="1"/>
  <c r="D1405" i="5" s="1"/>
  <c r="D737" i="5"/>
  <c r="D745" i="5" s="1"/>
  <c r="D1384" i="5" s="1"/>
  <c r="D725" i="5"/>
  <c r="D726" i="5" s="1"/>
  <c r="D720" i="5"/>
  <c r="D728" i="5" s="1"/>
  <c r="D1383" i="5" s="1"/>
  <c r="D708" i="5"/>
  <c r="D703" i="5"/>
  <c r="D711" i="5" s="1"/>
  <c r="D690" i="5"/>
  <c r="D694" i="5" s="1"/>
  <c r="D1402" i="5" s="1"/>
  <c r="D685" i="5"/>
  <c r="D686" i="5" s="1"/>
  <c r="D627" i="5"/>
  <c r="D630" i="5" s="1"/>
  <c r="D631" i="5" s="1"/>
  <c r="D621" i="5"/>
  <c r="D623" i="5" s="1"/>
  <c r="D624" i="5" s="1"/>
  <c r="D652" i="5"/>
  <c r="D654" i="5" s="1"/>
  <c r="D643" i="5"/>
  <c r="D658" i="5" s="1"/>
  <c r="D659" i="5" s="1"/>
  <c r="C643" i="5"/>
  <c r="D608" i="5"/>
  <c r="D609" i="5" s="1"/>
  <c r="D594" i="5"/>
  <c r="D612" i="5" s="1"/>
  <c r="D613" i="5" s="1"/>
  <c r="D614" i="5" s="1"/>
  <c r="D586" i="5"/>
  <c r="D590" i="5" s="1"/>
  <c r="D581" i="5"/>
  <c r="D582" i="5" s="1"/>
  <c r="D573" i="5"/>
  <c r="D574" i="5" s="1"/>
  <c r="D937" i="5" l="1"/>
  <c r="D1413" i="5" s="1"/>
  <c r="D1371" i="5" s="1"/>
  <c r="D617" i="5"/>
  <c r="D589" i="5"/>
  <c r="D591" i="5" s="1"/>
  <c r="D634" i="5"/>
  <c r="D635" i="5" s="1"/>
  <c r="D639" i="5" s="1"/>
  <c r="D1368" i="5"/>
  <c r="D738" i="5"/>
  <c r="D647" i="5"/>
  <c r="D648" i="5" s="1"/>
  <c r="D1363" i="5"/>
  <c r="D1406" i="5"/>
  <c r="D693" i="5"/>
  <c r="D1381" i="5" s="1"/>
  <c r="D1360" i="5" s="1"/>
  <c r="D803" i="5"/>
  <c r="D1409" i="5" s="1"/>
  <c r="D655" i="5"/>
  <c r="D662" i="5"/>
  <c r="D1030" i="5"/>
  <c r="D1382" i="5"/>
  <c r="D599" i="5"/>
  <c r="D600" i="5" s="1"/>
  <c r="D1038" i="5"/>
  <c r="D768" i="5"/>
  <c r="D1386" i="5" s="1"/>
  <c r="D1365" i="5" s="1"/>
  <c r="D691" i="5"/>
  <c r="D712" i="5"/>
  <c r="D1403" i="5" s="1"/>
  <c r="D802" i="5"/>
  <c r="D785" i="5"/>
  <c r="D1387" i="5" s="1"/>
  <c r="D1366" i="5" s="1"/>
  <c r="D729" i="5"/>
  <c r="D1404" i="5" s="1"/>
  <c r="D616" i="5"/>
  <c r="D1390" i="5"/>
  <c r="D1055" i="5"/>
  <c r="D1056" i="5" s="1"/>
  <c r="D966" i="5"/>
  <c r="D967" i="5" s="1"/>
  <c r="D920" i="5"/>
  <c r="D874" i="5"/>
  <c r="D857" i="5"/>
  <c r="D853" i="5"/>
  <c r="D828" i="5"/>
  <c r="D830" i="5"/>
  <c r="D783" i="5"/>
  <c r="D747" i="5"/>
  <c r="D638" i="5"/>
  <c r="D660" i="5"/>
  <c r="D663" i="5"/>
  <c r="D587" i="5"/>
  <c r="D564" i="5"/>
  <c r="D565" i="5" s="1"/>
  <c r="D559" i="5"/>
  <c r="D560" i="5" s="1"/>
  <c r="D552" i="5"/>
  <c r="D553" i="5" s="1"/>
  <c r="D528" i="5"/>
  <c r="D514" i="5"/>
  <c r="D519" i="5" s="1"/>
  <c r="D509" i="5"/>
  <c r="D500" i="5"/>
  <c r="D487" i="5"/>
  <c r="D482" i="5"/>
  <c r="D471" i="5"/>
  <c r="D475" i="5" s="1"/>
  <c r="D477" i="5" s="1"/>
  <c r="D464" i="5"/>
  <c r="D456" i="5"/>
  <c r="D457" i="5" s="1"/>
  <c r="D444" i="5"/>
  <c r="D426" i="5"/>
  <c r="D409" i="5"/>
  <c r="D410" i="5" s="1"/>
  <c r="D393" i="5"/>
  <c r="D382" i="5"/>
  <c r="D384" i="5" s="1"/>
  <c r="D1671" i="5" s="1"/>
  <c r="D938" i="5" l="1"/>
  <c r="D618" i="5"/>
  <c r="D636" i="5"/>
  <c r="D695" i="5"/>
  <c r="D664" i="5"/>
  <c r="D787" i="5"/>
  <c r="D388" i="5"/>
  <c r="D770" i="5"/>
  <c r="D921" i="5"/>
  <c r="D1412" i="5"/>
  <c r="D1370" i="5" s="1"/>
  <c r="D804" i="5"/>
  <c r="D1388" i="5"/>
  <c r="D1367" i="5" s="1"/>
  <c r="D1393" i="5"/>
  <c r="D1031" i="5"/>
  <c r="D1039" i="5"/>
  <c r="D1414" i="5" s="1"/>
  <c r="D1034" i="5"/>
  <c r="D1035" i="5" s="1"/>
  <c r="D1036" i="5" s="1"/>
  <c r="D1361" i="5"/>
  <c r="D386" i="5"/>
  <c r="D533" i="5"/>
  <c r="D640" i="5"/>
  <c r="D832" i="5"/>
  <c r="D1385" i="5"/>
  <c r="D1364" i="5" s="1"/>
  <c r="D713" i="5"/>
  <c r="D1362" i="5"/>
  <c r="D730" i="5"/>
  <c r="D1369" i="5"/>
  <c r="D532" i="5"/>
  <c r="D366" i="5"/>
  <c r="D365" i="5"/>
  <c r="D364" i="5"/>
  <c r="D360" i="5"/>
  <c r="D359" i="5"/>
  <c r="D358" i="5"/>
  <c r="D352" i="5"/>
  <c r="D351" i="5"/>
  <c r="D350" i="5"/>
  <c r="D338" i="5"/>
  <c r="D339" i="5" s="1"/>
  <c r="D332" i="5"/>
  <c r="D309" i="5"/>
  <c r="D303" i="5"/>
  <c r="D297" i="5"/>
  <c r="D287" i="5"/>
  <c r="D281" i="5"/>
  <c r="D275" i="5"/>
  <c r="D269" i="5"/>
  <c r="D246" i="5"/>
  <c r="D240" i="5"/>
  <c r="D217" i="5"/>
  <c r="D206" i="5"/>
  <c r="N204" i="5"/>
  <c r="O204" i="5" s="1"/>
  <c r="N202" i="5"/>
  <c r="O202" i="5" s="1"/>
  <c r="N184" i="5"/>
  <c r="O184" i="5" s="1"/>
  <c r="N148" i="5"/>
  <c r="O148" i="5" s="1"/>
  <c r="N138" i="5"/>
  <c r="O138" i="5" s="1"/>
  <c r="N134" i="5"/>
  <c r="O134" i="5" s="1"/>
  <c r="D84" i="5"/>
  <c r="D85" i="5" s="1"/>
  <c r="D78" i="5"/>
  <c r="D53" i="5"/>
  <c r="D1653" i="5" s="1"/>
  <c r="D52" i="5"/>
  <c r="D51" i="5"/>
  <c r="D15" i="5"/>
  <c r="D342" i="5" s="1"/>
  <c r="D16" i="5"/>
  <c r="D343" i="5" s="1"/>
  <c r="D17" i="5"/>
  <c r="D344" i="5" s="1"/>
  <c r="D48" i="5"/>
  <c r="D1664" i="5" s="1"/>
  <c r="D42" i="5"/>
  <c r="D12" i="5"/>
  <c r="C1565" i="5"/>
  <c r="K1565" i="5" s="1"/>
  <c r="C1530" i="5"/>
  <c r="K1530" i="5" s="1"/>
  <c r="C1540" i="5"/>
  <c r="K1540" i="5" s="1"/>
  <c r="C1570" i="5"/>
  <c r="C1563" i="5"/>
  <c r="K1563" i="5" s="1"/>
  <c r="C1523" i="5"/>
  <c r="C1524" i="5" s="1"/>
  <c r="K1570" i="5" l="1"/>
  <c r="N1570" i="5" s="1"/>
  <c r="O1570" i="5" s="1"/>
  <c r="D371" i="5"/>
  <c r="D361" i="5"/>
  <c r="D1667" i="5" s="1"/>
  <c r="D370" i="5"/>
  <c r="D1419" i="5"/>
  <c r="D1422" i="5" s="1"/>
  <c r="D534" i="5"/>
  <c r="D535" i="5" s="1"/>
  <c r="D1672" i="5" s="1"/>
  <c r="D1372" i="5"/>
  <c r="D1377" i="5" s="1"/>
  <c r="D1398" i="5"/>
  <c r="D1421" i="5" s="1"/>
  <c r="D1040" i="5"/>
  <c r="D367" i="5"/>
  <c r="D373" i="5" s="1"/>
  <c r="D1668" i="5" s="1"/>
  <c r="D353" i="5"/>
  <c r="D355" i="5" s="1"/>
  <c r="C1579" i="5"/>
  <c r="D54" i="5"/>
  <c r="D18" i="5"/>
  <c r="N1661" i="5"/>
  <c r="O1661" i="5" s="1"/>
  <c r="C1636" i="5"/>
  <c r="C1648" i="5" s="1"/>
  <c r="C1650" i="5" s="1"/>
  <c r="C1624" i="5"/>
  <c r="C1659" i="5" s="1"/>
  <c r="C1621" i="5"/>
  <c r="C1658" i="5" s="1"/>
  <c r="D1423" i="5" l="1"/>
  <c r="D1654" i="5"/>
  <c r="D1666" i="5"/>
  <c r="D345" i="5"/>
  <c r="D347" i="5"/>
  <c r="D1665" i="5" s="1"/>
  <c r="C1655" i="5"/>
  <c r="C1657" i="5"/>
  <c r="C1656" i="5"/>
  <c r="C1625" i="5"/>
  <c r="C899" i="5" l="1"/>
  <c r="C900" i="5" s="1"/>
  <c r="C894" i="5"/>
  <c r="C895" i="5" s="1"/>
  <c r="C887" i="5"/>
  <c r="C888" i="5" s="1"/>
  <c r="C1506" i="5"/>
  <c r="C1507" i="5" s="1"/>
  <c r="C1498" i="5"/>
  <c r="C1499" i="5" s="1"/>
  <c r="C753" i="5"/>
  <c r="C742" i="5"/>
  <c r="C746" i="5" s="1"/>
  <c r="C737" i="5"/>
  <c r="C745" i="5" s="1"/>
  <c r="C627" i="5"/>
  <c r="C1458" i="5"/>
  <c r="C1459" i="5" s="1"/>
  <c r="C1448" i="5"/>
  <c r="C1449" i="5" s="1"/>
  <c r="C747" i="5" l="1"/>
  <c r="C902" i="5"/>
  <c r="C903" i="5"/>
  <c r="C904" i="5" s="1"/>
  <c r="C1286" i="5"/>
  <c r="C1287" i="5" s="1"/>
  <c r="C1273" i="5"/>
  <c r="C1274" i="5" s="1"/>
  <c r="C1266" i="5"/>
  <c r="C1267" i="5" s="1"/>
  <c r="C630" i="5"/>
  <c r="C621" i="5"/>
  <c r="C607" i="5"/>
  <c r="C606" i="5"/>
  <c r="C605" i="5"/>
  <c r="C604" i="5"/>
  <c r="C598" i="5"/>
  <c r="C597" i="5"/>
  <c r="C596" i="5"/>
  <c r="C595" i="5"/>
  <c r="C594" i="5"/>
  <c r="C612" i="5" s="1"/>
  <c r="C613" i="5" s="1"/>
  <c r="C552" i="5"/>
  <c r="C553" i="5" s="1"/>
  <c r="C623" i="5" l="1"/>
  <c r="C624" i="5" s="1"/>
  <c r="C634" i="5"/>
  <c r="C635" i="5" s="1"/>
  <c r="C631" i="5"/>
  <c r="C638" i="5"/>
  <c r="C1276" i="5"/>
  <c r="C1277" i="5" s="1"/>
  <c r="C617" i="5"/>
  <c r="C614" i="5"/>
  <c r="C1673" i="5"/>
  <c r="C636" i="5" l="1"/>
  <c r="C639" i="5"/>
  <c r="C640" i="5" s="1"/>
  <c r="C1293" i="5"/>
  <c r="C1294" i="5" s="1"/>
  <c r="C1305" i="5"/>
  <c r="C1312" i="5" s="1"/>
  <c r="C1313" i="5" s="1"/>
  <c r="C1163" i="5"/>
  <c r="C1164" i="5" s="1"/>
  <c r="C1145" i="5"/>
  <c r="C1146" i="5" s="1"/>
  <c r="C1138" i="5"/>
  <c r="C1139" i="5" s="1"/>
  <c r="C1106" i="5"/>
  <c r="C1107" i="5"/>
  <c r="C1108" i="5"/>
  <c r="C1109" i="5"/>
  <c r="C1110" i="5"/>
  <c r="C1111" i="5"/>
  <c r="C1112" i="5"/>
  <c r="C1113" i="5"/>
  <c r="C1114" i="5"/>
  <c r="C1115" i="5"/>
  <c r="C1116" i="5"/>
  <c r="C1117" i="5"/>
  <c r="C1118" i="5"/>
  <c r="C1092" i="5"/>
  <c r="C1093" i="5" s="1"/>
  <c r="C1077" i="5"/>
  <c r="C1078" i="5" s="1"/>
  <c r="C1070" i="5"/>
  <c r="C1071" i="5" s="1"/>
  <c r="C1044" i="5"/>
  <c r="C1045" i="5"/>
  <c r="C1046" i="5"/>
  <c r="C1047" i="5"/>
  <c r="C1048" i="5"/>
  <c r="C1049" i="5"/>
  <c r="C1050" i="5"/>
  <c r="C1051" i="5"/>
  <c r="C1052" i="5"/>
  <c r="C1053" i="5"/>
  <c r="C1054" i="5"/>
  <c r="C1470" i="5"/>
  <c r="C1471" i="5" s="1"/>
  <c r="C1463" i="5"/>
  <c r="C1464" i="5" s="1"/>
  <c r="C852" i="5"/>
  <c r="C856" i="5" s="1"/>
  <c r="C847" i="5"/>
  <c r="C855" i="5" s="1"/>
  <c r="C839" i="5"/>
  <c r="C840" i="5" s="1"/>
  <c r="C827" i="5"/>
  <c r="C828" i="5" s="1"/>
  <c r="C822" i="5"/>
  <c r="C823" i="5" s="1"/>
  <c r="C814" i="5"/>
  <c r="C815" i="5" s="1"/>
  <c r="C1100" i="5" l="1"/>
  <c r="C1166" i="5"/>
  <c r="C1296" i="5"/>
  <c r="C1297" i="5" s="1"/>
  <c r="C1306" i="5"/>
  <c r="C1167" i="5"/>
  <c r="C1120" i="5"/>
  <c r="C1121" i="5" s="1"/>
  <c r="C1119" i="5"/>
  <c r="C831" i="5"/>
  <c r="C830" i="5"/>
  <c r="C1055" i="5"/>
  <c r="C1056" i="5" s="1"/>
  <c r="C1096" i="5"/>
  <c r="C1097" i="5" s="1"/>
  <c r="C857" i="5"/>
  <c r="C853" i="5"/>
  <c r="C799" i="5"/>
  <c r="C803" i="5" s="1"/>
  <c r="C794" i="5"/>
  <c r="C795" i="5" s="1"/>
  <c r="C608" i="5"/>
  <c r="C599" i="5"/>
  <c r="C600" i="5" s="1"/>
  <c r="C564" i="5"/>
  <c r="C533" i="5" s="1"/>
  <c r="C559" i="5"/>
  <c r="C560" i="5" s="1"/>
  <c r="C524" i="5"/>
  <c r="C528" i="5" s="1"/>
  <c r="C519" i="5"/>
  <c r="C586" i="5"/>
  <c r="C587" i="5" s="1"/>
  <c r="C581" i="5"/>
  <c r="C582" i="5" s="1"/>
  <c r="C573" i="5"/>
  <c r="C574" i="5" s="1"/>
  <c r="C651" i="5"/>
  <c r="C654" i="5" s="1"/>
  <c r="C655" i="5" s="1"/>
  <c r="C658" i="5"/>
  <c r="C659" i="5" s="1"/>
  <c r="C647" i="5"/>
  <c r="C648" i="5" s="1"/>
  <c r="C832" i="5" l="1"/>
  <c r="C1168" i="5"/>
  <c r="C609" i="5"/>
  <c r="C616" i="5"/>
  <c r="C618" i="5" s="1"/>
  <c r="C590" i="5"/>
  <c r="C802" i="5"/>
  <c r="C804" i="5" s="1"/>
  <c r="C565" i="5"/>
  <c r="C532" i="5"/>
  <c r="C534" i="5" s="1"/>
  <c r="C535" i="5" s="1"/>
  <c r="C1672" i="5" s="1"/>
  <c r="C1098" i="5"/>
  <c r="C1101" i="5"/>
  <c r="C1102" i="5" s="1"/>
  <c r="C589" i="5"/>
  <c r="C800" i="5"/>
  <c r="C662" i="5"/>
  <c r="C663" i="5"/>
  <c r="C660" i="5"/>
  <c r="C708" i="5"/>
  <c r="C709" i="5" s="1"/>
  <c r="C703" i="5"/>
  <c r="C711" i="5" s="1"/>
  <c r="C690" i="5"/>
  <c r="C694" i="5" s="1"/>
  <c r="C685" i="5"/>
  <c r="C686" i="5" s="1"/>
  <c r="C509" i="5"/>
  <c r="C500" i="5"/>
  <c r="C487" i="5"/>
  <c r="C482" i="5"/>
  <c r="C471" i="5"/>
  <c r="C475" i="5" s="1"/>
  <c r="C477" i="5" s="1"/>
  <c r="C464" i="5"/>
  <c r="C456" i="5"/>
  <c r="C457" i="5" s="1"/>
  <c r="C444" i="5"/>
  <c r="C712" i="5" l="1"/>
  <c r="C713" i="5" s="1"/>
  <c r="C591" i="5"/>
  <c r="C664" i="5"/>
  <c r="C693" i="5"/>
  <c r="C695" i="5" s="1"/>
  <c r="C691" i="5"/>
  <c r="C426" i="5"/>
  <c r="C409" i="5"/>
  <c r="C410" i="5" s="1"/>
  <c r="C393" i="5"/>
  <c r="C382" i="5"/>
  <c r="C386" i="5" s="1"/>
  <c r="C1485" i="5"/>
  <c r="C1486" i="5" s="1"/>
  <c r="C1489" i="5" l="1"/>
  <c r="C1490" i="5"/>
  <c r="C1674" i="5" s="1"/>
  <c r="C384" i="5"/>
  <c r="C765" i="5"/>
  <c r="C760" i="5"/>
  <c r="C768" i="5" s="1"/>
  <c r="C864" i="5"/>
  <c r="C872" i="5" s="1"/>
  <c r="C869" i="5"/>
  <c r="C870" i="5" s="1"/>
  <c r="C873" i="5"/>
  <c r="C1410" i="5" s="1"/>
  <c r="C928" i="5"/>
  <c r="C936" i="5" s="1"/>
  <c r="C1392" i="5" s="1"/>
  <c r="C933" i="5"/>
  <c r="C937" i="5" s="1"/>
  <c r="C916" i="5"/>
  <c r="C920" i="5" s="1"/>
  <c r="C1412" i="5" s="1"/>
  <c r="C911" i="5"/>
  <c r="C919" i="5" s="1"/>
  <c r="C1333" i="5"/>
  <c r="C1334" i="5" s="1"/>
  <c r="C1329" i="5"/>
  <c r="C1337" i="5" s="1"/>
  <c r="C1381" i="5"/>
  <c r="C1382" i="5"/>
  <c r="C1384" i="5"/>
  <c r="C1385" i="5"/>
  <c r="C1388" i="5"/>
  <c r="C1390" i="5"/>
  <c r="C1394" i="5"/>
  <c r="C1395" i="5"/>
  <c r="C1402" i="5"/>
  <c r="C1403" i="5"/>
  <c r="C1405" i="5"/>
  <c r="C1406" i="5"/>
  <c r="C1409" i="5"/>
  <c r="C1367" i="5" s="1"/>
  <c r="C1411" i="5"/>
  <c r="C1415" i="5"/>
  <c r="C1416" i="5"/>
  <c r="C1427" i="5"/>
  <c r="C1428" i="5"/>
  <c r="C1429" i="5"/>
  <c r="C1351" i="5"/>
  <c r="C1355" i="5" s="1"/>
  <c r="C1432" i="5" s="1"/>
  <c r="C1346" i="5"/>
  <c r="C1354" i="5" s="1"/>
  <c r="C1217" i="5"/>
  <c r="C1218" i="5"/>
  <c r="C1219" i="5"/>
  <c r="C1220" i="5"/>
  <c r="C1221" i="5"/>
  <c r="C1222" i="5"/>
  <c r="C1223" i="5"/>
  <c r="C1235" i="5"/>
  <c r="C1236" i="5" s="1"/>
  <c r="C1242" i="5"/>
  <c r="C1256" i="5" s="1"/>
  <c r="C1253" i="5"/>
  <c r="C1257" i="5" s="1"/>
  <c r="C1418" i="5" s="1"/>
  <c r="C1188" i="5"/>
  <c r="C1177" i="5" s="1"/>
  <c r="C1184" i="5"/>
  <c r="C1173" i="5" s="1"/>
  <c r="C1172" i="5"/>
  <c r="C1174" i="5"/>
  <c r="C1175" i="5"/>
  <c r="C1176" i="5"/>
  <c r="C1178" i="5"/>
  <c r="C1197" i="5"/>
  <c r="C1198" i="5" s="1"/>
  <c r="C1208" i="5"/>
  <c r="C1209" i="5" s="1"/>
  <c r="C1027" i="5"/>
  <c r="C1024" i="5"/>
  <c r="C1021" i="5"/>
  <c r="C1020" i="5"/>
  <c r="C1019" i="5"/>
  <c r="C769" i="5" l="1"/>
  <c r="C1407" i="5" s="1"/>
  <c r="C388" i="5"/>
  <c r="C1671" i="5"/>
  <c r="C1030" i="5"/>
  <c r="C1031" i="5" s="1"/>
  <c r="C1258" i="5"/>
  <c r="C1373" i="5"/>
  <c r="C1356" i="5"/>
  <c r="C1397" i="5"/>
  <c r="C1376" i="5" s="1"/>
  <c r="C1361" i="5"/>
  <c r="C917" i="5"/>
  <c r="C1224" i="5"/>
  <c r="C1225" i="5" s="1"/>
  <c r="C1190" i="5"/>
  <c r="C1191" i="5" s="1"/>
  <c r="C1374" i="5"/>
  <c r="C1369" i="5"/>
  <c r="C1364" i="5"/>
  <c r="C1360" i="5"/>
  <c r="C761" i="5"/>
  <c r="C1386" i="5"/>
  <c r="C874" i="5"/>
  <c r="C1389" i="5"/>
  <c r="C1368" i="5" s="1"/>
  <c r="C938" i="5"/>
  <c r="C1413" i="5"/>
  <c r="C1371" i="5" s="1"/>
  <c r="C934" i="5"/>
  <c r="C921" i="5"/>
  <c r="C1391" i="5"/>
  <c r="C1335" i="5"/>
  <c r="C1338" i="5"/>
  <c r="C1339" i="5" s="1"/>
  <c r="C1431" i="5" s="1"/>
  <c r="C1363" i="5"/>
  <c r="C1352" i="5"/>
  <c r="C1243" i="5"/>
  <c r="C1179" i="5"/>
  <c r="C1180" i="5" s="1"/>
  <c r="C1211" i="5"/>
  <c r="C1396" i="5" s="1"/>
  <c r="C1212" i="5"/>
  <c r="C1002" i="5"/>
  <c r="C994" i="5"/>
  <c r="C995" i="5" s="1"/>
  <c r="C942" i="5"/>
  <c r="C943" i="5"/>
  <c r="C944" i="5"/>
  <c r="C945" i="5"/>
  <c r="C946" i="5"/>
  <c r="C947" i="5"/>
  <c r="C948" i="5"/>
  <c r="C949" i="5"/>
  <c r="C950" i="5"/>
  <c r="C951" i="5"/>
  <c r="C952" i="5"/>
  <c r="C953" i="5"/>
  <c r="C954" i="5"/>
  <c r="C955" i="5"/>
  <c r="C956" i="5"/>
  <c r="C957" i="5"/>
  <c r="C958" i="5"/>
  <c r="C959" i="5"/>
  <c r="C960" i="5"/>
  <c r="C961" i="5"/>
  <c r="C962" i="5"/>
  <c r="C963" i="5"/>
  <c r="C964" i="5"/>
  <c r="C965" i="5"/>
  <c r="C725" i="5"/>
  <c r="C729" i="5" s="1"/>
  <c r="C1404" i="5" s="1"/>
  <c r="C720" i="5"/>
  <c r="C728" i="5" s="1"/>
  <c r="C1383" i="5" s="1"/>
  <c r="C1321" i="5"/>
  <c r="C782" i="5"/>
  <c r="C786" i="5" s="1"/>
  <c r="C1408" i="5" s="1"/>
  <c r="C777" i="5"/>
  <c r="C785" i="5" s="1"/>
  <c r="C1387" i="5" s="1"/>
  <c r="C366" i="5"/>
  <c r="C365" i="5"/>
  <c r="C364" i="5"/>
  <c r="C360" i="5"/>
  <c r="C359" i="5"/>
  <c r="C358" i="5"/>
  <c r="C352" i="5"/>
  <c r="C351" i="5"/>
  <c r="C350" i="5"/>
  <c r="C338" i="5"/>
  <c r="C332" i="5"/>
  <c r="C309" i="5"/>
  <c r="C303" i="5"/>
  <c r="C297" i="5"/>
  <c r="C287" i="5"/>
  <c r="C275" i="5"/>
  <c r="C269" i="5"/>
  <c r="C246" i="5"/>
  <c r="C240" i="5"/>
  <c r="C217" i="5"/>
  <c r="N121" i="5"/>
  <c r="O121" i="5" s="1"/>
  <c r="N122" i="5"/>
  <c r="O122" i="5" s="1"/>
  <c r="N123" i="5"/>
  <c r="O123" i="5" s="1"/>
  <c r="N126" i="5"/>
  <c r="O126" i="5" s="1"/>
  <c r="N127" i="5"/>
  <c r="O127" i="5" s="1"/>
  <c r="C206" i="5"/>
  <c r="N197" i="5"/>
  <c r="O197" i="5" s="1"/>
  <c r="N194" i="5"/>
  <c r="O194" i="5" s="1"/>
  <c r="N193" i="5"/>
  <c r="O193" i="5" s="1"/>
  <c r="N188" i="5"/>
  <c r="O188" i="5" s="1"/>
  <c r="N173" i="5"/>
  <c r="O173" i="5" s="1"/>
  <c r="N177" i="5"/>
  <c r="O177" i="5" s="1"/>
  <c r="N162" i="5"/>
  <c r="O162" i="5" s="1"/>
  <c r="N156" i="5"/>
  <c r="O156" i="5" s="1"/>
  <c r="N151" i="5"/>
  <c r="O151" i="5" s="1"/>
  <c r="N152" i="5"/>
  <c r="O152" i="5" s="1"/>
  <c r="N147" i="5"/>
  <c r="O147" i="5" s="1"/>
  <c r="N136" i="5"/>
  <c r="O136" i="5" s="1"/>
  <c r="N130" i="5"/>
  <c r="O130" i="5" s="1"/>
  <c r="N118" i="5"/>
  <c r="O118" i="5" s="1"/>
  <c r="C84" i="5"/>
  <c r="C85" i="5" s="1"/>
  <c r="C78" i="5"/>
  <c r="C53" i="5"/>
  <c r="C1653" i="5" s="1"/>
  <c r="C52" i="5"/>
  <c r="C51" i="5"/>
  <c r="C48" i="5"/>
  <c r="C1664" i="5" s="1"/>
  <c r="C42" i="5"/>
  <c r="C17" i="5"/>
  <c r="C344" i="5" s="1"/>
  <c r="C16" i="5"/>
  <c r="C343" i="5" s="1"/>
  <c r="C15" i="5"/>
  <c r="C342" i="5" s="1"/>
  <c r="C12" i="5"/>
  <c r="C1365" i="5" l="1"/>
  <c r="C1039" i="5"/>
  <c r="C1414" i="5" s="1"/>
  <c r="C370" i="5"/>
  <c r="C778" i="5"/>
  <c r="C1034" i="5"/>
  <c r="C1035" i="5" s="1"/>
  <c r="C1036" i="5" s="1"/>
  <c r="C770" i="5"/>
  <c r="C353" i="5"/>
  <c r="C355" i="5" s="1"/>
  <c r="C361" i="5"/>
  <c r="C1667" i="5" s="1"/>
  <c r="C1366" i="5"/>
  <c r="C1362" i="5"/>
  <c r="C1322" i="5"/>
  <c r="C1430" i="5"/>
  <c r="C1433" i="5" s="1"/>
  <c r="C1003" i="5"/>
  <c r="C1038" i="5"/>
  <c r="C367" i="5"/>
  <c r="C373" i="5" s="1"/>
  <c r="C1668" i="5" s="1"/>
  <c r="C1213" i="5"/>
  <c r="C1417" i="5"/>
  <c r="C1375" i="5" s="1"/>
  <c r="C1370" i="5"/>
  <c r="C783" i="5"/>
  <c r="C787" i="5"/>
  <c r="C966" i="5"/>
  <c r="C967" i="5" s="1"/>
  <c r="C730" i="5"/>
  <c r="C726" i="5"/>
  <c r="C339" i="5"/>
  <c r="C54" i="5"/>
  <c r="C18" i="5"/>
  <c r="B627" i="5"/>
  <c r="C1654" i="5" l="1"/>
  <c r="C1666" i="5"/>
  <c r="C345" i="5"/>
  <c r="C347" i="5"/>
  <c r="C1665" i="5" s="1"/>
  <c r="C1040" i="5"/>
  <c r="C1393" i="5"/>
  <c r="C1419" i="5"/>
  <c r="C1422" i="5" s="1"/>
  <c r="B1130" i="5"/>
  <c r="B1136" i="5"/>
  <c r="B1132" i="5"/>
  <c r="B1124" i="5"/>
  <c r="B1131" i="5"/>
  <c r="B1068" i="5"/>
  <c r="B1027" i="5"/>
  <c r="B1020" i="5"/>
  <c r="B652" i="5"/>
  <c r="B651" i="5"/>
  <c r="C1372" i="5" l="1"/>
  <c r="C1377" i="5" s="1"/>
  <c r="C1398" i="5"/>
  <c r="C1421" i="5" s="1"/>
  <c r="C1423" i="5" s="1"/>
  <c r="B605" i="5"/>
  <c r="B604" i="5"/>
  <c r="B462" i="5" l="1"/>
  <c r="B461" i="5"/>
  <c r="B460" i="5"/>
  <c r="B450" i="5"/>
  <c r="B426" i="5" l="1"/>
  <c r="B514" i="5" l="1"/>
  <c r="N424" i="5"/>
  <c r="O424" i="5" s="1"/>
  <c r="B1351" i="5"/>
  <c r="B1355" i="5" s="1"/>
  <c r="N1355" i="5" s="1"/>
  <c r="O1355" i="5" s="1"/>
  <c r="N1350" i="5"/>
  <c r="N1351" i="5" s="1"/>
  <c r="N1347" i="5"/>
  <c r="O1347" i="5" s="1"/>
  <c r="B1346" i="5"/>
  <c r="B1354" i="5" s="1"/>
  <c r="N1345" i="5"/>
  <c r="O1345" i="5" s="1"/>
  <c r="N1344" i="5"/>
  <c r="O1344" i="5" s="1"/>
  <c r="N1343" i="5"/>
  <c r="B1186" i="5"/>
  <c r="B1184" i="5"/>
  <c r="B621" i="5"/>
  <c r="B643" i="5"/>
  <c r="B594" i="5"/>
  <c r="B612" i="5" s="1"/>
  <c r="B1548" i="5"/>
  <c r="N1532" i="5"/>
  <c r="O1532" i="5" s="1"/>
  <c r="B1579" i="5" l="1"/>
  <c r="K1548" i="5"/>
  <c r="K1579" i="5" s="1"/>
  <c r="B658" i="5"/>
  <c r="B647" i="5"/>
  <c r="B1432" i="5"/>
  <c r="O1432" i="5" s="1"/>
  <c r="N1346" i="5"/>
  <c r="O1343" i="5"/>
  <c r="O1346" i="5" s="1"/>
  <c r="B1356" i="5"/>
  <c r="O1350" i="5"/>
  <c r="O1351" i="5" s="1"/>
  <c r="B1352" i="5"/>
  <c r="N1352" i="5" s="1"/>
  <c r="O1352" i="5" s="1"/>
  <c r="N1354" i="5"/>
  <c r="B1485" i="5"/>
  <c r="N1432" i="5" l="1"/>
  <c r="N1356" i="5"/>
  <c r="O1354" i="5"/>
  <c r="O1356" i="5" s="1"/>
  <c r="B852" i="5"/>
  <c r="B856" i="5" s="1"/>
  <c r="N856" i="5" s="1"/>
  <c r="O856" i="5" s="1"/>
  <c r="N851" i="5"/>
  <c r="O851" i="5" s="1"/>
  <c r="O852" i="5" s="1"/>
  <c r="B847" i="5"/>
  <c r="B855" i="5" s="1"/>
  <c r="N846" i="5"/>
  <c r="O846" i="5" s="1"/>
  <c r="N845" i="5"/>
  <c r="O845" i="5" s="1"/>
  <c r="N844" i="5"/>
  <c r="N838" i="5"/>
  <c r="O838" i="5" s="1"/>
  <c r="N837" i="5"/>
  <c r="O837" i="5" s="1"/>
  <c r="N836" i="5"/>
  <c r="O836" i="5" s="1"/>
  <c r="B839" i="5"/>
  <c r="B840" i="5" s="1"/>
  <c r="N840" i="5" s="1"/>
  <c r="O840" i="5" s="1"/>
  <c r="B827" i="5"/>
  <c r="B831" i="5" s="1"/>
  <c r="N826" i="5"/>
  <c r="N827" i="5" s="1"/>
  <c r="B822" i="5"/>
  <c r="B830" i="5" s="1"/>
  <c r="B1385" i="5" s="1"/>
  <c r="N821" i="5"/>
  <c r="O821" i="5" s="1"/>
  <c r="N820" i="5"/>
  <c r="O820" i="5" s="1"/>
  <c r="N819" i="5"/>
  <c r="O819" i="5" s="1"/>
  <c r="B794" i="5"/>
  <c r="N793" i="5"/>
  <c r="O793" i="5" s="1"/>
  <c r="N792" i="5"/>
  <c r="O792" i="5" s="1"/>
  <c r="N791" i="5"/>
  <c r="O791" i="5" s="1"/>
  <c r="N807" i="5"/>
  <c r="O807" i="5" s="1"/>
  <c r="N808" i="5"/>
  <c r="O808" i="5" s="1"/>
  <c r="N813" i="5"/>
  <c r="O813" i="5" s="1"/>
  <c r="N812" i="5"/>
  <c r="O812" i="5" s="1"/>
  <c r="N811" i="5"/>
  <c r="O811" i="5" s="1"/>
  <c r="N810" i="5"/>
  <c r="O810" i="5" s="1"/>
  <c r="N809" i="5"/>
  <c r="O809" i="5" s="1"/>
  <c r="N403" i="5"/>
  <c r="O403" i="5" s="1"/>
  <c r="N404" i="5"/>
  <c r="O404" i="5" s="1"/>
  <c r="N405" i="5"/>
  <c r="O405" i="5" s="1"/>
  <c r="N406" i="5"/>
  <c r="O406" i="5" s="1"/>
  <c r="N407" i="5"/>
  <c r="O407" i="5" s="1"/>
  <c r="N408" i="5"/>
  <c r="O408" i="5" s="1"/>
  <c r="N549" i="5"/>
  <c r="O549" i="5" s="1"/>
  <c r="N550" i="5"/>
  <c r="O550" i="5" s="1"/>
  <c r="N551" i="5"/>
  <c r="O551" i="5" s="1"/>
  <c r="C281" i="5"/>
  <c r="C371" i="5" s="1"/>
  <c r="N280" i="5"/>
  <c r="O280" i="5" s="1"/>
  <c r="B332" i="5"/>
  <c r="N331" i="5"/>
  <c r="O331" i="5" s="1"/>
  <c r="N330" i="5"/>
  <c r="O330" i="5" s="1"/>
  <c r="N259" i="5"/>
  <c r="O259" i="5" s="1"/>
  <c r="N258" i="5"/>
  <c r="O258" i="5" s="1"/>
  <c r="N231" i="5"/>
  <c r="O231" i="5" s="1"/>
  <c r="N228" i="5"/>
  <c r="O228" i="5" s="1"/>
  <c r="B206" i="5"/>
  <c r="N181" i="5"/>
  <c r="O181" i="5" s="1"/>
  <c r="N158" i="5"/>
  <c r="O158" i="5" s="1"/>
  <c r="N149" i="5"/>
  <c r="O149" i="5" s="1"/>
  <c r="N64" i="5"/>
  <c r="O64" i="5" s="1"/>
  <c r="N65" i="5"/>
  <c r="O65" i="5" s="1"/>
  <c r="N66" i="5"/>
  <c r="O66" i="5" s="1"/>
  <c r="N67" i="5"/>
  <c r="O67" i="5" s="1"/>
  <c r="N68" i="5"/>
  <c r="O68" i="5" s="1"/>
  <c r="N69" i="5"/>
  <c r="O69" i="5" s="1"/>
  <c r="N71" i="5"/>
  <c r="O71" i="5" s="1"/>
  <c r="N73" i="5"/>
  <c r="O73" i="5" s="1"/>
  <c r="N74" i="5"/>
  <c r="O74" i="5" s="1"/>
  <c r="N75" i="5"/>
  <c r="O75" i="5" s="1"/>
  <c r="N76" i="5"/>
  <c r="O76" i="5" s="1"/>
  <c r="N77" i="5"/>
  <c r="O77" i="5" s="1"/>
  <c r="N38" i="5"/>
  <c r="O38" i="5" s="1"/>
  <c r="N37" i="5"/>
  <c r="O37" i="5" s="1"/>
  <c r="N31" i="5"/>
  <c r="O31" i="5" s="1"/>
  <c r="B795" i="5" l="1"/>
  <c r="N795" i="5" s="1"/>
  <c r="O795" i="5" s="1"/>
  <c r="N831" i="5"/>
  <c r="O831" i="5" s="1"/>
  <c r="B1406" i="5"/>
  <c r="B1364" i="5" s="1"/>
  <c r="N847" i="5"/>
  <c r="O844" i="5"/>
  <c r="O847" i="5" s="1"/>
  <c r="B828" i="5"/>
  <c r="N828" i="5" s="1"/>
  <c r="O828" i="5" s="1"/>
  <c r="N848" i="5"/>
  <c r="O848" i="5" s="1"/>
  <c r="N852" i="5"/>
  <c r="B853" i="5"/>
  <c r="N853" i="5" s="1"/>
  <c r="O853" i="5" s="1"/>
  <c r="B857" i="5"/>
  <c r="N855" i="5"/>
  <c r="B823" i="5"/>
  <c r="N823" i="5" s="1"/>
  <c r="O823" i="5" s="1"/>
  <c r="N822" i="5"/>
  <c r="O826" i="5"/>
  <c r="O827" i="5" s="1"/>
  <c r="O822" i="5"/>
  <c r="N835" i="5"/>
  <c r="N830" i="5"/>
  <c r="B832" i="5"/>
  <c r="O794" i="5"/>
  <c r="N794" i="5"/>
  <c r="B802" i="5"/>
  <c r="B1388" i="5" s="1"/>
  <c r="B814" i="5"/>
  <c r="B815" i="5" s="1"/>
  <c r="N815" i="5" s="1"/>
  <c r="O815" i="5" s="1"/>
  <c r="N434" i="5"/>
  <c r="O434" i="5" s="1"/>
  <c r="N798" i="5" l="1"/>
  <c r="B799" i="5"/>
  <c r="O855" i="5"/>
  <c r="O857" i="5" s="1"/>
  <c r="N857" i="5"/>
  <c r="N839" i="5"/>
  <c r="O835" i="5"/>
  <c r="O839" i="5" s="1"/>
  <c r="N832" i="5"/>
  <c r="O830" i="5"/>
  <c r="O832" i="5" s="1"/>
  <c r="N802" i="5"/>
  <c r="N814" i="5"/>
  <c r="N547" i="5"/>
  <c r="O547" i="5" s="1"/>
  <c r="B800" i="5" l="1"/>
  <c r="N800" i="5" s="1"/>
  <c r="O800" i="5" s="1"/>
  <c r="B803" i="5"/>
  <c r="O798" i="5"/>
  <c r="O799" i="5" s="1"/>
  <c r="N799" i="5"/>
  <c r="O802" i="5"/>
  <c r="O814" i="5"/>
  <c r="N196" i="5"/>
  <c r="O196" i="5" s="1"/>
  <c r="N180" i="5"/>
  <c r="O180" i="5" s="1"/>
  <c r="N803" i="5" l="1"/>
  <c r="B1409" i="5"/>
  <c r="B1367" i="5" s="1"/>
  <c r="B804" i="5"/>
  <c r="N192" i="5"/>
  <c r="O192" i="5" s="1"/>
  <c r="O803" i="5" l="1"/>
  <c r="O804" i="5" s="1"/>
  <c r="N804" i="5"/>
  <c r="N676" i="5" l="1"/>
  <c r="N183" i="5" l="1"/>
  <c r="O183" i="5" s="1"/>
  <c r="N160" i="5"/>
  <c r="O160" i="5" s="1"/>
  <c r="N119" i="5"/>
  <c r="O119" i="5" s="1"/>
  <c r="N201" i="5" l="1"/>
  <c r="O201" i="5" s="1"/>
  <c r="N1497" i="5" l="1"/>
  <c r="O1497" i="5" s="1"/>
  <c r="N1505" i="5"/>
  <c r="O1505" i="5" s="1"/>
  <c r="B1506" i="5"/>
  <c r="N1504" i="5"/>
  <c r="O1504" i="5" s="1"/>
  <c r="N1503" i="5"/>
  <c r="N1502" i="5"/>
  <c r="O1502" i="5" s="1"/>
  <c r="N1496" i="5"/>
  <c r="O1496" i="5" s="1"/>
  <c r="N1495" i="5"/>
  <c r="O1495" i="5" s="1"/>
  <c r="N1494" i="5"/>
  <c r="O1494" i="5" s="1"/>
  <c r="B1498" i="5"/>
  <c r="B1499" i="5" s="1"/>
  <c r="O1498" i="5" l="1"/>
  <c r="N1498" i="5"/>
  <c r="N1506" i="5"/>
  <c r="O1506" i="5" s="1"/>
  <c r="O1503" i="5"/>
  <c r="B1507" i="5"/>
  <c r="N1507" i="5" s="1"/>
  <c r="O1507" i="5" s="1"/>
  <c r="N1499" i="5"/>
  <c r="O1499" i="5" s="1"/>
  <c r="N185" i="5" l="1"/>
  <c r="O185" i="5" s="1"/>
  <c r="B338" i="5" l="1"/>
  <c r="N205" i="5" l="1"/>
  <c r="O205" i="5" s="1"/>
  <c r="N172" i="5"/>
  <c r="O172" i="5" s="1"/>
  <c r="N198" i="5" l="1"/>
  <c r="O198" i="5" s="1"/>
  <c r="N164" i="5"/>
  <c r="O164" i="5" s="1"/>
  <c r="N161" i="5"/>
  <c r="N129" i="5"/>
  <c r="O129" i="5" s="1"/>
  <c r="O161" i="5" l="1"/>
  <c r="B287" i="5" l="1"/>
  <c r="N195" i="5" l="1"/>
  <c r="O195" i="5" s="1"/>
  <c r="N186" i="5"/>
  <c r="O186" i="5" s="1"/>
  <c r="N178" i="5"/>
  <c r="O178" i="5" s="1"/>
  <c r="N176" i="5"/>
  <c r="O176" i="5" s="1"/>
  <c r="N171" i="5"/>
  <c r="O171" i="5" s="1"/>
  <c r="N131" i="5"/>
  <c r="O131" i="5" s="1"/>
  <c r="N120" i="5"/>
  <c r="O120" i="5" s="1"/>
  <c r="N113" i="5"/>
  <c r="O113" i="5" s="1"/>
  <c r="N1406" i="5" l="1"/>
  <c r="B1045" i="5" l="1"/>
  <c r="B1046" i="5"/>
  <c r="B1047" i="5"/>
  <c r="B1048" i="5"/>
  <c r="B1049" i="5"/>
  <c r="B1050" i="5"/>
  <c r="B1051" i="5"/>
  <c r="B1052" i="5"/>
  <c r="B1053" i="5"/>
  <c r="B1054" i="5"/>
  <c r="N1546" i="5" l="1"/>
  <c r="O1546" i="5" s="1"/>
  <c r="N1545" i="5"/>
  <c r="O1545" i="5" s="1"/>
  <c r="N1544" i="5"/>
  <c r="O1544" i="5" s="1"/>
  <c r="N1571" i="5"/>
  <c r="O1571" i="5" s="1"/>
  <c r="B1621" i="5" l="1"/>
  <c r="N1473" i="5" l="1"/>
  <c r="O1473" i="5" s="1"/>
  <c r="B1321" i="5"/>
  <c r="O1321" i="5" s="1"/>
  <c r="O1385" i="5"/>
  <c r="O1406" i="5" l="1"/>
  <c r="B528" i="5" l="1"/>
  <c r="N414" i="5" l="1"/>
  <c r="N415" i="5"/>
  <c r="N416" i="5"/>
  <c r="N417" i="5"/>
  <c r="N418" i="5"/>
  <c r="N419" i="5"/>
  <c r="N420" i="5"/>
  <c r="N421" i="5"/>
  <c r="N422" i="5"/>
  <c r="N423" i="5"/>
  <c r="N425" i="5"/>
  <c r="N441" i="5"/>
  <c r="O441" i="5" s="1"/>
  <c r="N440" i="5"/>
  <c r="O440" i="5" s="1"/>
  <c r="N426" i="5"/>
  <c r="B634" i="5" l="1"/>
  <c r="B994" i="5" l="1"/>
  <c r="N265" i="5" l="1"/>
  <c r="O265" i="5" s="1"/>
  <c r="N128" i="5"/>
  <c r="O128" i="5" s="1"/>
  <c r="B78" i="5" l="1"/>
  <c r="B309" i="5"/>
  <c r="B303" i="5"/>
  <c r="B297" i="5"/>
  <c r="B275" i="5"/>
  <c r="B269" i="5"/>
  <c r="B444" i="5"/>
  <c r="N443" i="5"/>
  <c r="O443" i="5" s="1"/>
  <c r="N442" i="5"/>
  <c r="O442" i="5" s="1"/>
  <c r="N439" i="5"/>
  <c r="O439" i="5" s="1"/>
  <c r="N438" i="5"/>
  <c r="O438" i="5" s="1"/>
  <c r="N437" i="5"/>
  <c r="O437" i="5" s="1"/>
  <c r="N435" i="5"/>
  <c r="O435" i="5" s="1"/>
  <c r="N433" i="5"/>
  <c r="O433" i="5" s="1"/>
  <c r="N430" i="5"/>
  <c r="O430" i="5" s="1"/>
  <c r="N428" i="5"/>
  <c r="O428" i="5" s="1"/>
  <c r="B371" i="5" l="1"/>
  <c r="B370" i="5"/>
  <c r="O444" i="5"/>
  <c r="N444" i="5"/>
  <c r="B409" i="5"/>
  <c r="B410" i="5" s="1"/>
  <c r="N410" i="5" s="1"/>
  <c r="O410" i="5" s="1"/>
  <c r="O425" i="5" l="1"/>
  <c r="O423" i="5"/>
  <c r="O422" i="5"/>
  <c r="O421" i="5"/>
  <c r="O420" i="5"/>
  <c r="O419" i="5"/>
  <c r="O418" i="5"/>
  <c r="O417" i="5"/>
  <c r="O416" i="5"/>
  <c r="O415" i="5"/>
  <c r="O414" i="5"/>
  <c r="N413" i="5"/>
  <c r="B659" i="5"/>
  <c r="B663" i="5" s="1"/>
  <c r="N663" i="5" s="1"/>
  <c r="O663" i="5" s="1"/>
  <c r="N658" i="5"/>
  <c r="N659" i="5" s="1"/>
  <c r="B654" i="5"/>
  <c r="B662" i="5" s="1"/>
  <c r="N653" i="5"/>
  <c r="O653" i="5" s="1"/>
  <c r="N652" i="5"/>
  <c r="O652" i="5" s="1"/>
  <c r="N651" i="5"/>
  <c r="O651" i="5" s="1"/>
  <c r="B635" i="5"/>
  <c r="B639" i="5" s="1"/>
  <c r="N639" i="5" s="1"/>
  <c r="O639" i="5" s="1"/>
  <c r="N634" i="5"/>
  <c r="N635" i="5" s="1"/>
  <c r="B630" i="5"/>
  <c r="B638" i="5" s="1"/>
  <c r="N629" i="5"/>
  <c r="O629" i="5" s="1"/>
  <c r="N628" i="5"/>
  <c r="O628" i="5" s="1"/>
  <c r="N627" i="5"/>
  <c r="N603" i="5"/>
  <c r="O603" i="5" s="1"/>
  <c r="B613" i="5"/>
  <c r="B617" i="5" s="1"/>
  <c r="N617" i="5" s="1"/>
  <c r="O617" i="5" s="1"/>
  <c r="N612" i="5"/>
  <c r="N613" i="5" s="1"/>
  <c r="B608" i="5"/>
  <c r="B616" i="5" s="1"/>
  <c r="N607" i="5"/>
  <c r="O607" i="5" s="1"/>
  <c r="N606" i="5"/>
  <c r="O606" i="5" s="1"/>
  <c r="N605" i="5"/>
  <c r="O605" i="5" s="1"/>
  <c r="N604" i="5"/>
  <c r="B586" i="5"/>
  <c r="B587" i="5" s="1"/>
  <c r="N585" i="5"/>
  <c r="N586" i="5" s="1"/>
  <c r="B581" i="5"/>
  <c r="B582" i="5" s="1"/>
  <c r="N580" i="5"/>
  <c r="O580" i="5" s="1"/>
  <c r="N579" i="5"/>
  <c r="O579" i="5" s="1"/>
  <c r="N578" i="5"/>
  <c r="O578" i="5" s="1"/>
  <c r="N577" i="5"/>
  <c r="O577" i="5" s="1"/>
  <c r="O413" i="5" l="1"/>
  <c r="O426" i="5" s="1"/>
  <c r="N654" i="5"/>
  <c r="O658" i="5"/>
  <c r="O659" i="5" s="1"/>
  <c r="O654" i="5"/>
  <c r="B655" i="5"/>
  <c r="N655" i="5" s="1"/>
  <c r="O655" i="5" s="1"/>
  <c r="B660" i="5"/>
  <c r="N660" i="5" s="1"/>
  <c r="O660" i="5" s="1"/>
  <c r="N662" i="5"/>
  <c r="B664" i="5"/>
  <c r="O612" i="5"/>
  <c r="O613" i="5" s="1"/>
  <c r="B631" i="5"/>
  <c r="N631" i="5" s="1"/>
  <c r="O631" i="5" s="1"/>
  <c r="O634" i="5"/>
  <c r="O635" i="5" s="1"/>
  <c r="B609" i="5"/>
  <c r="N609" i="5" s="1"/>
  <c r="O609" i="5" s="1"/>
  <c r="B614" i="5"/>
  <c r="N614" i="5" s="1"/>
  <c r="O614" i="5" s="1"/>
  <c r="N630" i="5"/>
  <c r="N608" i="5"/>
  <c r="B636" i="5"/>
  <c r="N636" i="5" s="1"/>
  <c r="O636" i="5" s="1"/>
  <c r="N638" i="5"/>
  <c r="B640" i="5"/>
  <c r="O627" i="5"/>
  <c r="O630" i="5" s="1"/>
  <c r="B618" i="5"/>
  <c r="N616" i="5"/>
  <c r="O604" i="5"/>
  <c r="O608" i="5" s="1"/>
  <c r="B590" i="5"/>
  <c r="N590" i="5" s="1"/>
  <c r="O590" i="5" s="1"/>
  <c r="N587" i="5"/>
  <c r="O587" i="5" s="1"/>
  <c r="O581" i="5"/>
  <c r="N582" i="5"/>
  <c r="O582" i="5" s="1"/>
  <c r="N581" i="5"/>
  <c r="O585" i="5"/>
  <c r="O586" i="5" s="1"/>
  <c r="N1068" i="5"/>
  <c r="O1068" i="5" s="1"/>
  <c r="N1454" i="5"/>
  <c r="O1454" i="5" s="1"/>
  <c r="B1470" i="5"/>
  <c r="B1471" i="5" s="1"/>
  <c r="N1469" i="5"/>
  <c r="O1469" i="5" s="1"/>
  <c r="N1468" i="5"/>
  <c r="O1468" i="5" s="1"/>
  <c r="N1467" i="5"/>
  <c r="B1463" i="5"/>
  <c r="B1464" i="5" s="1"/>
  <c r="N1462" i="5"/>
  <c r="O1462" i="5" s="1"/>
  <c r="O1463" i="5" s="1"/>
  <c r="B1286" i="5"/>
  <c r="B1287" i="5" s="1"/>
  <c r="N1284" i="5"/>
  <c r="O1284" i="5" s="1"/>
  <c r="N1285" i="5"/>
  <c r="O1285" i="5" s="1"/>
  <c r="N1283" i="5"/>
  <c r="O1283" i="5" s="1"/>
  <c r="N1282" i="5"/>
  <c r="O1282" i="5" s="1"/>
  <c r="N1281" i="5"/>
  <c r="O1281" i="5" s="1"/>
  <c r="N1263" i="5"/>
  <c r="O1263" i="5" s="1"/>
  <c r="N1264" i="5"/>
  <c r="O1264" i="5" s="1"/>
  <c r="N1265" i="5"/>
  <c r="O1265" i="5" s="1"/>
  <c r="B1266" i="5"/>
  <c r="B1267" i="5" s="1"/>
  <c r="N1267" i="5" s="1"/>
  <c r="O1267" i="5" s="1"/>
  <c r="N1262" i="5"/>
  <c r="B942" i="5"/>
  <c r="B1253" i="5"/>
  <c r="B1257" i="5" s="1"/>
  <c r="B1418" i="5" s="1"/>
  <c r="N1418" i="5" s="1"/>
  <c r="N1252" i="5"/>
  <c r="O1252" i="5" s="1"/>
  <c r="N1251" i="5"/>
  <c r="O1251" i="5" s="1"/>
  <c r="N1250" i="5"/>
  <c r="O1250" i="5" s="1"/>
  <c r="N1249" i="5"/>
  <c r="O1249" i="5" s="1"/>
  <c r="N1248" i="5"/>
  <c r="O1248" i="5" s="1"/>
  <c r="N1247" i="5"/>
  <c r="O1247" i="5" s="1"/>
  <c r="N1246" i="5"/>
  <c r="B1242" i="5"/>
  <c r="N1241" i="5"/>
  <c r="O1241" i="5" s="1"/>
  <c r="N1240" i="5"/>
  <c r="O1240" i="5" s="1"/>
  <c r="N1239" i="5"/>
  <c r="O1239" i="5" s="1"/>
  <c r="B1235" i="5"/>
  <c r="N1236" i="5" s="1"/>
  <c r="O1236" i="5" s="1"/>
  <c r="N1234" i="5"/>
  <c r="O1234" i="5" s="1"/>
  <c r="N1233" i="5"/>
  <c r="O1233" i="5" s="1"/>
  <c r="N1232" i="5"/>
  <c r="O1232" i="5" s="1"/>
  <c r="N1231" i="5"/>
  <c r="O1231" i="5" s="1"/>
  <c r="N1230" i="5"/>
  <c r="O1230" i="5" s="1"/>
  <c r="N1229" i="5"/>
  <c r="O1229" i="5" s="1"/>
  <c r="N1228" i="5"/>
  <c r="B1223" i="5"/>
  <c r="N1223" i="5" s="1"/>
  <c r="O1223" i="5" s="1"/>
  <c r="B1222" i="5"/>
  <c r="N1222" i="5" s="1"/>
  <c r="O1222" i="5" s="1"/>
  <c r="B1221" i="5"/>
  <c r="N1221" i="5" s="1"/>
  <c r="O1221" i="5" s="1"/>
  <c r="B1220" i="5"/>
  <c r="B1219" i="5"/>
  <c r="N1219" i="5" s="1"/>
  <c r="O1219" i="5" s="1"/>
  <c r="B1218" i="5"/>
  <c r="N1218" i="5" s="1"/>
  <c r="O1218" i="5" s="1"/>
  <c r="B1217" i="5"/>
  <c r="N1217" i="5" s="1"/>
  <c r="N1270" i="5"/>
  <c r="O1270" i="5" s="1"/>
  <c r="B1173" i="5"/>
  <c r="B1174" i="5"/>
  <c r="B1175" i="5"/>
  <c r="B1176" i="5"/>
  <c r="B1177" i="5"/>
  <c r="B1178" i="5"/>
  <c r="B943" i="5"/>
  <c r="B944" i="5"/>
  <c r="B945" i="5"/>
  <c r="B946" i="5"/>
  <c r="B947" i="5"/>
  <c r="B948" i="5"/>
  <c r="B949" i="5"/>
  <c r="B950" i="5"/>
  <c r="B951" i="5"/>
  <c r="B952" i="5"/>
  <c r="B953" i="5"/>
  <c r="B954" i="5"/>
  <c r="B955" i="5"/>
  <c r="B956" i="5"/>
  <c r="B957" i="5"/>
  <c r="B958" i="5"/>
  <c r="B959" i="5"/>
  <c r="B960" i="5"/>
  <c r="B961" i="5"/>
  <c r="B962" i="5"/>
  <c r="B963" i="5"/>
  <c r="B964" i="5"/>
  <c r="B965" i="5"/>
  <c r="N1010" i="5"/>
  <c r="O1010" i="5" s="1"/>
  <c r="N1011" i="5"/>
  <c r="O1011" i="5" s="1"/>
  <c r="N1012" i="5"/>
  <c r="O1012" i="5" s="1"/>
  <c r="N1013" i="5"/>
  <c r="O1013" i="5" s="1"/>
  <c r="N1014" i="5"/>
  <c r="O1014" i="5" s="1"/>
  <c r="N1015" i="5"/>
  <c r="O1015" i="5" s="1"/>
  <c r="N1016" i="5"/>
  <c r="O1016" i="5" s="1"/>
  <c r="N1017" i="5"/>
  <c r="O1017" i="5" s="1"/>
  <c r="N1018" i="5"/>
  <c r="O1018" i="5" s="1"/>
  <c r="N1019" i="5"/>
  <c r="O1019" i="5" s="1"/>
  <c r="N1020" i="5"/>
  <c r="O1020" i="5" s="1"/>
  <c r="N977" i="5"/>
  <c r="O977" i="5" s="1"/>
  <c r="N978" i="5"/>
  <c r="O978" i="5" s="1"/>
  <c r="N979" i="5"/>
  <c r="O979" i="5" s="1"/>
  <c r="N980" i="5"/>
  <c r="O980" i="5" s="1"/>
  <c r="N981" i="5"/>
  <c r="O981" i="5" s="1"/>
  <c r="N982" i="5"/>
  <c r="O982" i="5" s="1"/>
  <c r="N983" i="5"/>
  <c r="O983" i="5" s="1"/>
  <c r="N984" i="5"/>
  <c r="O984" i="5" s="1"/>
  <c r="N985" i="5"/>
  <c r="O985" i="5" s="1"/>
  <c r="N986" i="5"/>
  <c r="O986" i="5" s="1"/>
  <c r="O1418" i="5" l="1"/>
  <c r="N664" i="5"/>
  <c r="O662" i="5"/>
  <c r="O664" i="5" s="1"/>
  <c r="N640" i="5"/>
  <c r="O638" i="5"/>
  <c r="O640" i="5" s="1"/>
  <c r="N618" i="5"/>
  <c r="O616" i="5"/>
  <c r="O618" i="5" s="1"/>
  <c r="N1463" i="5"/>
  <c r="N1470" i="5"/>
  <c r="N1471" i="5"/>
  <c r="O1471" i="5" s="1"/>
  <c r="O1467" i="5"/>
  <c r="O1470" i="5" s="1"/>
  <c r="N1464" i="5"/>
  <c r="O1464" i="5" s="1"/>
  <c r="O1286" i="5"/>
  <c r="N1286" i="5"/>
  <c r="N1266" i="5"/>
  <c r="O1262" i="5"/>
  <c r="N1235" i="5"/>
  <c r="O1242" i="5"/>
  <c r="O1256" i="5" s="1"/>
  <c r="B1224" i="5"/>
  <c r="N1225" i="5" s="1"/>
  <c r="O1225" i="5" s="1"/>
  <c r="N1243" i="5"/>
  <c r="O1243" i="5" s="1"/>
  <c r="N1253" i="5"/>
  <c r="N1257" i="5" s="1"/>
  <c r="N1254" i="5"/>
  <c r="O1254" i="5" s="1"/>
  <c r="O1228" i="5"/>
  <c r="O1235" i="5" s="1"/>
  <c r="N1242" i="5"/>
  <c r="N1256" i="5" s="1"/>
  <c r="O1246" i="5"/>
  <c r="O1253" i="5" s="1"/>
  <c r="O1257" i="5" s="1"/>
  <c r="B1256" i="5"/>
  <c r="O1217" i="5"/>
  <c r="N1220" i="5"/>
  <c r="O1220" i="5" s="1"/>
  <c r="N945" i="5"/>
  <c r="O945" i="5" s="1"/>
  <c r="N959" i="5"/>
  <c r="O959" i="5" s="1"/>
  <c r="N946" i="5"/>
  <c r="O946" i="5" s="1"/>
  <c r="N944" i="5"/>
  <c r="O944" i="5" s="1"/>
  <c r="N947" i="5"/>
  <c r="O947" i="5" s="1"/>
  <c r="N954" i="5"/>
  <c r="O954" i="5" s="1"/>
  <c r="N952" i="5"/>
  <c r="O952" i="5" s="1"/>
  <c r="N950" i="5"/>
  <c r="O950" i="5" s="1"/>
  <c r="O1266" i="5" l="1"/>
  <c r="B1258" i="5"/>
  <c r="B1397" i="5"/>
  <c r="B1376" i="5" s="1"/>
  <c r="O1258" i="5"/>
  <c r="N1258" i="5"/>
  <c r="O1224" i="5"/>
  <c r="N1224" i="5"/>
  <c r="O1397" i="5" l="1"/>
  <c r="N1007" i="5"/>
  <c r="O1007" i="5" s="1"/>
  <c r="N971" i="5"/>
  <c r="O971" i="5" s="1"/>
  <c r="N943" i="5"/>
  <c r="O943" i="5" s="1"/>
  <c r="N1162" i="5" l="1"/>
  <c r="O1162" i="5" s="1"/>
  <c r="B1163" i="5"/>
  <c r="N1137" i="5"/>
  <c r="O1137" i="5" s="1"/>
  <c r="B1138" i="5"/>
  <c r="B1119" i="5" l="1"/>
  <c r="N1119" i="5" s="1"/>
  <c r="O1119" i="5" s="1"/>
  <c r="B1092" i="5"/>
  <c r="N1091" i="5"/>
  <c r="O1091" i="5" s="1"/>
  <c r="B1070" i="5"/>
  <c r="N1045" i="5"/>
  <c r="O1045" i="5" s="1"/>
  <c r="N1046" i="5"/>
  <c r="O1046" i="5" s="1"/>
  <c r="N1047" i="5"/>
  <c r="O1047" i="5" s="1"/>
  <c r="N1048" i="5"/>
  <c r="O1048" i="5" s="1"/>
  <c r="N1049" i="5"/>
  <c r="O1049" i="5" s="1"/>
  <c r="N1050" i="5"/>
  <c r="O1050" i="5" s="1"/>
  <c r="N1051" i="5"/>
  <c r="O1051" i="5" s="1"/>
  <c r="N1052" i="5"/>
  <c r="O1052" i="5" s="1"/>
  <c r="N1053" i="5"/>
  <c r="O1053" i="5" s="1"/>
  <c r="B1044" i="5"/>
  <c r="N1044" i="5" s="1"/>
  <c r="O1044" i="5" s="1"/>
  <c r="N1090" i="5"/>
  <c r="O1090" i="5" s="1"/>
  <c r="N1089" i="5"/>
  <c r="O1089" i="5" s="1"/>
  <c r="N1088" i="5"/>
  <c r="O1088" i="5" s="1"/>
  <c r="N1087" i="5"/>
  <c r="O1087" i="5" s="1"/>
  <c r="N1086" i="5"/>
  <c r="O1086" i="5" s="1"/>
  <c r="N1085" i="5"/>
  <c r="O1085" i="5" s="1"/>
  <c r="N1084" i="5"/>
  <c r="O1084" i="5" s="1"/>
  <c r="N1083" i="5"/>
  <c r="O1083" i="5" s="1"/>
  <c r="N1082" i="5"/>
  <c r="O1082" i="5" s="1"/>
  <c r="N1081" i="5"/>
  <c r="O1081" i="5" s="1"/>
  <c r="N1069" i="5"/>
  <c r="O1069" i="5" s="1"/>
  <c r="N1067" i="5"/>
  <c r="O1067" i="5" s="1"/>
  <c r="N1066" i="5"/>
  <c r="O1066" i="5" s="1"/>
  <c r="N1065" i="5"/>
  <c r="O1065" i="5" s="1"/>
  <c r="N1064" i="5"/>
  <c r="O1064" i="5" s="1"/>
  <c r="N1063" i="5"/>
  <c r="O1063" i="5" s="1"/>
  <c r="N1062" i="5"/>
  <c r="O1062" i="5" s="1"/>
  <c r="N1061" i="5"/>
  <c r="O1061" i="5" s="1"/>
  <c r="N1060" i="5"/>
  <c r="N1059" i="5"/>
  <c r="O1059" i="5" s="1"/>
  <c r="B753" i="5"/>
  <c r="N752" i="5"/>
  <c r="O752" i="5" s="1"/>
  <c r="N751" i="5"/>
  <c r="O751" i="5" s="1"/>
  <c r="N750" i="5"/>
  <c r="O750" i="5" s="1"/>
  <c r="B708" i="5"/>
  <c r="B712" i="5" s="1"/>
  <c r="B1403" i="5" s="1"/>
  <c r="N707" i="5"/>
  <c r="N708" i="5" s="1"/>
  <c r="B703" i="5"/>
  <c r="B711" i="5" s="1"/>
  <c r="B1382" i="5" s="1"/>
  <c r="N702" i="5"/>
  <c r="O702" i="5" s="1"/>
  <c r="N701" i="5"/>
  <c r="O701" i="5" s="1"/>
  <c r="N700" i="5"/>
  <c r="O700" i="5" s="1"/>
  <c r="N699" i="5"/>
  <c r="B1361" i="5" l="1"/>
  <c r="N1403" i="5"/>
  <c r="O1403" i="5"/>
  <c r="O1382" i="5"/>
  <c r="N1361" i="5"/>
  <c r="N1382" i="5"/>
  <c r="O1060" i="5"/>
  <c r="O753" i="5"/>
  <c r="N753" i="5"/>
  <c r="N703" i="5"/>
  <c r="B709" i="5"/>
  <c r="O699" i="5"/>
  <c r="O703" i="5" s="1"/>
  <c r="B713" i="5"/>
  <c r="O707" i="5"/>
  <c r="O708" i="5" s="1"/>
  <c r="O1361" i="5" l="1"/>
  <c r="N711" i="5"/>
  <c r="O711" i="5" s="1"/>
  <c r="N709" i="5"/>
  <c r="O709" i="5" s="1"/>
  <c r="N704" i="5"/>
  <c r="O704" i="5" s="1"/>
  <c r="N712" i="5"/>
  <c r="O712" i="5" s="1"/>
  <c r="O713" i="5" l="1"/>
  <c r="N713" i="5"/>
  <c r="N324" i="5" l="1"/>
  <c r="O324" i="5" l="1"/>
  <c r="N143" i="5"/>
  <c r="O143" i="5" s="1"/>
  <c r="N1310" i="5" l="1"/>
  <c r="O1310" i="5" s="1"/>
  <c r="N1309" i="5"/>
  <c r="O1309" i="5" s="1"/>
  <c r="N190" i="5" l="1"/>
  <c r="O190" i="5" s="1"/>
  <c r="N236" i="5" l="1"/>
  <c r="O236" i="5" s="1"/>
  <c r="N168" i="5"/>
  <c r="O168" i="5" s="1"/>
  <c r="N117" i="5"/>
  <c r="O117" i="5" s="1"/>
  <c r="N89" i="5" l="1"/>
  <c r="O89" i="5" s="1"/>
  <c r="B685" i="5" l="1"/>
  <c r="N1528" i="5" l="1"/>
  <c r="O1528" i="5" s="1"/>
  <c r="N1529" i="5"/>
  <c r="O1529" i="5" s="1"/>
  <c r="N1530" i="5"/>
  <c r="O1530" i="5" s="1"/>
  <c r="N1531" i="5"/>
  <c r="O1531" i="5" s="1"/>
  <c r="N1533" i="5"/>
  <c r="O1533" i="5" s="1"/>
  <c r="N1534" i="5"/>
  <c r="O1534" i="5" s="1"/>
  <c r="N1535" i="5"/>
  <c r="O1535" i="5" s="1"/>
  <c r="N1536" i="5"/>
  <c r="O1536" i="5" s="1"/>
  <c r="N1537" i="5"/>
  <c r="O1537" i="5" s="1"/>
  <c r="N1538" i="5"/>
  <c r="O1538" i="5" s="1"/>
  <c r="N1539" i="5"/>
  <c r="O1539" i="5" s="1"/>
  <c r="N1540" i="5"/>
  <c r="O1540" i="5" s="1"/>
  <c r="N1541" i="5"/>
  <c r="O1541" i="5" s="1"/>
  <c r="N1542" i="5"/>
  <c r="O1542" i="5" s="1"/>
  <c r="N1543" i="5"/>
  <c r="O1543" i="5" s="1"/>
  <c r="N1547" i="5"/>
  <c r="O1547" i="5" s="1"/>
  <c r="N1548" i="5"/>
  <c r="O1548" i="5" s="1"/>
  <c r="N1549" i="5"/>
  <c r="O1549" i="5" s="1"/>
  <c r="N1550" i="5"/>
  <c r="O1550" i="5" s="1"/>
  <c r="N1551" i="5"/>
  <c r="O1551" i="5" s="1"/>
  <c r="N1552" i="5"/>
  <c r="O1552" i="5" s="1"/>
  <c r="N1553" i="5"/>
  <c r="O1553" i="5" s="1"/>
  <c r="N1554" i="5"/>
  <c r="O1554" i="5" s="1"/>
  <c r="N1555" i="5"/>
  <c r="O1555" i="5" s="1"/>
  <c r="N1556" i="5"/>
  <c r="O1556" i="5" s="1"/>
  <c r="N1557" i="5"/>
  <c r="O1557" i="5" s="1"/>
  <c r="N1558" i="5"/>
  <c r="O1558" i="5" s="1"/>
  <c r="N1559" i="5"/>
  <c r="O1559" i="5" s="1"/>
  <c r="N1560" i="5"/>
  <c r="O1560" i="5" s="1"/>
  <c r="N1561" i="5"/>
  <c r="O1561" i="5" s="1"/>
  <c r="N1562" i="5"/>
  <c r="O1562" i="5" s="1"/>
  <c r="N1563" i="5"/>
  <c r="O1563" i="5" s="1"/>
  <c r="N1564" i="5"/>
  <c r="O1564" i="5" s="1"/>
  <c r="N1565" i="5"/>
  <c r="O1565" i="5" s="1"/>
  <c r="N1566" i="5"/>
  <c r="O1566" i="5" s="1"/>
  <c r="N1567" i="5"/>
  <c r="O1567" i="5" s="1"/>
  <c r="N1568" i="5"/>
  <c r="O1568" i="5" s="1"/>
  <c r="N1569" i="5"/>
  <c r="O1569" i="5" s="1"/>
  <c r="N1572" i="5"/>
  <c r="O1572" i="5" s="1"/>
  <c r="N1573" i="5"/>
  <c r="O1573" i="5" s="1"/>
  <c r="N1574" i="5"/>
  <c r="O1574" i="5" s="1"/>
  <c r="N1575" i="5"/>
  <c r="O1575" i="5" s="1"/>
  <c r="N1576" i="5"/>
  <c r="O1576" i="5" s="1"/>
  <c r="N1577" i="5"/>
  <c r="O1577" i="5" s="1"/>
  <c r="N1578" i="5"/>
  <c r="O1578" i="5" s="1"/>
  <c r="B471" i="5" l="1"/>
  <c r="B725" i="5" l="1"/>
  <c r="B726" i="5" s="1"/>
  <c r="B742" i="5"/>
  <c r="B720" i="5"/>
  <c r="N734" i="5"/>
  <c r="O734" i="5" s="1"/>
  <c r="N735" i="5"/>
  <c r="O735" i="5" s="1"/>
  <c r="N724" i="5"/>
  <c r="O724" i="5" s="1"/>
  <c r="O725" i="5" s="1"/>
  <c r="N719" i="5"/>
  <c r="O719" i="5" s="1"/>
  <c r="N718" i="5"/>
  <c r="O718" i="5" s="1"/>
  <c r="N717" i="5"/>
  <c r="O717" i="5" s="1"/>
  <c r="B746" i="5" l="1"/>
  <c r="B1405" i="5" s="1"/>
  <c r="N1405" i="5" s="1"/>
  <c r="B728" i="5"/>
  <c r="B1383" i="5" s="1"/>
  <c r="B729" i="5"/>
  <c r="B1404" i="5" s="1"/>
  <c r="N1404" i="5" s="1"/>
  <c r="O720" i="5"/>
  <c r="N720" i="5"/>
  <c r="N725" i="5"/>
  <c r="B1362" i="5" l="1"/>
  <c r="O1404" i="5"/>
  <c r="O1383" i="5"/>
  <c r="O1405" i="5"/>
  <c r="N1383" i="5"/>
  <c r="N728" i="5"/>
  <c r="O728" i="5" s="1"/>
  <c r="B730" i="5"/>
  <c r="N726" i="5"/>
  <c r="O726" i="5" s="1"/>
  <c r="N729" i="5"/>
  <c r="O729" i="5" s="1"/>
  <c r="N721" i="5"/>
  <c r="O721" i="5" s="1"/>
  <c r="O1362" i="5" l="1"/>
  <c r="N1362" i="5"/>
  <c r="O730" i="5"/>
  <c r="N730" i="5"/>
  <c r="N114" i="5" l="1"/>
  <c r="O114" i="5" s="1"/>
  <c r="N115" i="5"/>
  <c r="O115" i="5" s="1"/>
  <c r="N137" i="5"/>
  <c r="O137" i="5" s="1"/>
  <c r="N142" i="5"/>
  <c r="O142" i="5" s="1"/>
  <c r="N146" i="5"/>
  <c r="O146" i="5" s="1"/>
  <c r="N159" i="5"/>
  <c r="O159" i="5" s="1"/>
  <c r="N163" i="5"/>
  <c r="N166" i="5"/>
  <c r="O166" i="5" s="1"/>
  <c r="N175" i="5"/>
  <c r="O175" i="5" s="1"/>
  <c r="N182" i="5"/>
  <c r="O182" i="5" s="1"/>
  <c r="N189" i="5"/>
  <c r="O189" i="5" s="1"/>
  <c r="N199" i="5"/>
  <c r="O199" i="5" s="1"/>
  <c r="O163" i="5" l="1"/>
  <c r="H5" i="8" l="1"/>
  <c r="H4" i="8"/>
  <c r="H3" i="8"/>
  <c r="N1599" i="5" l="1"/>
  <c r="O1599" i="5" s="1"/>
  <c r="N1602" i="5" l="1"/>
  <c r="O1602" i="5" s="1"/>
  <c r="N1584" i="5"/>
  <c r="O1584" i="5" s="1"/>
  <c r="N1585" i="5"/>
  <c r="O1585" i="5" s="1"/>
  <c r="N1586" i="5"/>
  <c r="O1586" i="5" s="1"/>
  <c r="N1587" i="5"/>
  <c r="O1587" i="5" s="1"/>
  <c r="N1588" i="5"/>
  <c r="O1588" i="5" s="1"/>
  <c r="N1589" i="5"/>
  <c r="O1589" i="5" s="1"/>
  <c r="N1590" i="5"/>
  <c r="O1590" i="5" s="1"/>
  <c r="N1591" i="5"/>
  <c r="O1591" i="5" s="1"/>
  <c r="N1592" i="5"/>
  <c r="O1592" i="5" s="1"/>
  <c r="N1593" i="5"/>
  <c r="O1593" i="5" s="1"/>
  <c r="N1594" i="5"/>
  <c r="O1594" i="5" s="1"/>
  <c r="N1595" i="5"/>
  <c r="O1595" i="5" s="1"/>
  <c r="N1596" i="5"/>
  <c r="O1596" i="5" s="1"/>
  <c r="N1597" i="5"/>
  <c r="O1597" i="5" s="1"/>
  <c r="N1598" i="5"/>
  <c r="O1598" i="5" s="1"/>
  <c r="N1600" i="5"/>
  <c r="O1600" i="5" s="1"/>
  <c r="N1601" i="5"/>
  <c r="O1601" i="5" s="1"/>
  <c r="N1603" i="5"/>
  <c r="O1603" i="5" s="1"/>
  <c r="N1604" i="5"/>
  <c r="O1604" i="5" s="1"/>
  <c r="N1605" i="5"/>
  <c r="O1605" i="5" s="1"/>
  <c r="N1606" i="5"/>
  <c r="O1606" i="5" s="1"/>
  <c r="N1607" i="5"/>
  <c r="O1607" i="5" s="1"/>
  <c r="N1608" i="5"/>
  <c r="O1608" i="5" s="1"/>
  <c r="N1609" i="5"/>
  <c r="O1609" i="5" s="1"/>
  <c r="N1610" i="5"/>
  <c r="O1610" i="5" s="1"/>
  <c r="N1611" i="5"/>
  <c r="O1611" i="5" s="1"/>
  <c r="N1612" i="5"/>
  <c r="O1612" i="5" s="1"/>
  <c r="N1613" i="5"/>
  <c r="O1613" i="5" s="1"/>
  <c r="N1614" i="5"/>
  <c r="O1614" i="5" s="1"/>
  <c r="N1615" i="5"/>
  <c r="O1615" i="5" s="1"/>
  <c r="N1616" i="5"/>
  <c r="O1616" i="5" s="1"/>
  <c r="N1617" i="5"/>
  <c r="O1617" i="5" s="1"/>
  <c r="N1618" i="5"/>
  <c r="O1618" i="5" s="1"/>
  <c r="N1619" i="5"/>
  <c r="O1619" i="5" s="1"/>
  <c r="N1620" i="5"/>
  <c r="O1620" i="5" s="1"/>
  <c r="B1624" i="5"/>
  <c r="B1659" i="5" s="1"/>
  <c r="B1657" i="5" l="1"/>
  <c r="B1656" i="5"/>
  <c r="B1658" i="5"/>
  <c r="B1625" i="5"/>
  <c r="O1376" i="5" l="1"/>
  <c r="N1397" i="5"/>
  <c r="N1376" i="5" l="1"/>
  <c r="N307" i="5"/>
  <c r="O307" i="5" s="1"/>
  <c r="N308" i="5"/>
  <c r="O308" i="5" s="1"/>
  <c r="N301" i="5"/>
  <c r="O301" i="5" s="1"/>
  <c r="N302" i="5"/>
  <c r="O302" i="5" s="1"/>
  <c r="N291" i="5"/>
  <c r="O291" i="5" s="1"/>
  <c r="N292" i="5"/>
  <c r="O292" i="5" s="1"/>
  <c r="N293" i="5"/>
  <c r="O293" i="5" s="1"/>
  <c r="N294" i="5"/>
  <c r="O294" i="5" s="1"/>
  <c r="N295" i="5"/>
  <c r="O295" i="5" s="1"/>
  <c r="N296" i="5"/>
  <c r="O296" i="5" s="1"/>
  <c r="N284" i="5"/>
  <c r="O284" i="5" s="1"/>
  <c r="N285" i="5"/>
  <c r="O285" i="5" s="1"/>
  <c r="N286" i="5"/>
  <c r="O286" i="5" s="1"/>
  <c r="N278" i="5"/>
  <c r="O278" i="5" s="1"/>
  <c r="N279" i="5"/>
  <c r="O279" i="5" s="1"/>
  <c r="N273" i="5"/>
  <c r="O273" i="5" s="1"/>
  <c r="N274" i="5"/>
  <c r="O274" i="5" s="1"/>
  <c r="N244" i="5"/>
  <c r="O244" i="5" s="1"/>
  <c r="N245" i="5"/>
  <c r="O245" i="5" s="1"/>
  <c r="N239" i="5"/>
  <c r="O239" i="5" s="1"/>
  <c r="N221" i="5"/>
  <c r="O221" i="5" s="1"/>
  <c r="N222" i="5"/>
  <c r="O222" i="5" s="1"/>
  <c r="N223" i="5"/>
  <c r="O223" i="5" s="1"/>
  <c r="N224" i="5"/>
  <c r="O224" i="5" s="1"/>
  <c r="N225" i="5"/>
  <c r="O225" i="5" s="1"/>
  <c r="N226" i="5"/>
  <c r="O226" i="5" s="1"/>
  <c r="N227" i="5"/>
  <c r="O227" i="5" s="1"/>
  <c r="N229" i="5"/>
  <c r="O229" i="5" s="1"/>
  <c r="N230" i="5"/>
  <c r="O230" i="5" s="1"/>
  <c r="N232" i="5"/>
  <c r="O232" i="5" s="1"/>
  <c r="N234" i="5"/>
  <c r="O234" i="5" s="1"/>
  <c r="N235" i="5"/>
  <c r="O235" i="5" s="1"/>
  <c r="N237" i="5"/>
  <c r="O237" i="5" s="1"/>
  <c r="N238" i="5"/>
  <c r="O238" i="5" s="1"/>
  <c r="N210" i="5"/>
  <c r="O210" i="5" s="1"/>
  <c r="N211" i="5"/>
  <c r="O211" i="5" s="1"/>
  <c r="N212" i="5"/>
  <c r="O212" i="5" s="1"/>
  <c r="N213" i="5"/>
  <c r="O213" i="5" s="1"/>
  <c r="N214" i="5"/>
  <c r="O214" i="5" s="1"/>
  <c r="N215" i="5"/>
  <c r="O215" i="5" s="1"/>
  <c r="N216" i="5"/>
  <c r="O216" i="5" s="1"/>
  <c r="N82" i="5"/>
  <c r="O82" i="5" s="1"/>
  <c r="N83" i="5"/>
  <c r="O83" i="5" s="1"/>
  <c r="N58" i="5"/>
  <c r="O58" i="5" s="1"/>
  <c r="N59" i="5"/>
  <c r="O59" i="5" s="1"/>
  <c r="N60" i="5"/>
  <c r="O60" i="5" s="1"/>
  <c r="N61" i="5"/>
  <c r="O61" i="5" s="1"/>
  <c r="N62" i="5"/>
  <c r="O62" i="5" s="1"/>
  <c r="N63" i="5"/>
  <c r="O63" i="5" s="1"/>
  <c r="N57" i="5"/>
  <c r="N46" i="5"/>
  <c r="O46" i="5" s="1"/>
  <c r="N47" i="5"/>
  <c r="O47" i="5" s="1"/>
  <c r="N22" i="5"/>
  <c r="O22" i="5" s="1"/>
  <c r="N23" i="5"/>
  <c r="O23" i="5" s="1"/>
  <c r="N24" i="5"/>
  <c r="O24" i="5" s="1"/>
  <c r="N25" i="5"/>
  <c r="O25" i="5" s="1"/>
  <c r="N26" i="5"/>
  <c r="O26" i="5" s="1"/>
  <c r="N27" i="5"/>
  <c r="O27" i="5" s="1"/>
  <c r="N28" i="5"/>
  <c r="O28" i="5" s="1"/>
  <c r="N29" i="5"/>
  <c r="O29" i="5" s="1"/>
  <c r="N30" i="5"/>
  <c r="O30" i="5" s="1"/>
  <c r="N32" i="5"/>
  <c r="O32" i="5" s="1"/>
  <c r="N33" i="5"/>
  <c r="O33" i="5" s="1"/>
  <c r="N35" i="5"/>
  <c r="O35" i="5" s="1"/>
  <c r="N39" i="5"/>
  <c r="O39" i="5" s="1"/>
  <c r="N40" i="5"/>
  <c r="O40" i="5" s="1"/>
  <c r="N41" i="5"/>
  <c r="O41" i="5" s="1"/>
  <c r="N10" i="5"/>
  <c r="O10" i="5" s="1"/>
  <c r="N11" i="5"/>
  <c r="O11" i="5" s="1"/>
  <c r="N569" i="5" l="1"/>
  <c r="O569" i="5" s="1"/>
  <c r="G3" i="11" l="1"/>
  <c r="G5" i="11" l="1"/>
  <c r="G4" i="11"/>
  <c r="N268" i="5"/>
  <c r="O268" i="5" s="1"/>
  <c r="N266" i="5"/>
  <c r="O266" i="5" s="1"/>
  <c r="N263" i="5"/>
  <c r="O263" i="5" s="1"/>
  <c r="N257" i="5"/>
  <c r="O257" i="5" s="1"/>
  <c r="N255" i="5"/>
  <c r="O255" i="5" s="1"/>
  <c r="N253" i="5"/>
  <c r="O253" i="5" s="1"/>
  <c r="N251" i="5"/>
  <c r="O251" i="5" s="1"/>
  <c r="N267" i="5"/>
  <c r="O267" i="5" s="1"/>
  <c r="N264" i="5"/>
  <c r="O264" i="5" s="1"/>
  <c r="N261" i="5"/>
  <c r="O261" i="5" s="1"/>
  <c r="N260" i="5"/>
  <c r="O260" i="5" s="1"/>
  <c r="N256" i="5"/>
  <c r="O256" i="5" s="1"/>
  <c r="N254" i="5"/>
  <c r="O254" i="5" s="1"/>
  <c r="N252" i="5"/>
  <c r="O252" i="5" s="1"/>
  <c r="N250" i="5"/>
  <c r="O250" i="5" s="1"/>
  <c r="B51" i="5" l="1"/>
  <c r="N1385" i="5" l="1"/>
  <c r="N209" i="5" l="1"/>
  <c r="B1523" i="5" l="1"/>
  <c r="N595" i="5"/>
  <c r="O595" i="5" s="1"/>
  <c r="N596" i="5"/>
  <c r="O596" i="5" s="1"/>
  <c r="N597" i="5"/>
  <c r="O597" i="5" s="1"/>
  <c r="N598" i="5"/>
  <c r="O598" i="5" s="1"/>
  <c r="N682" i="5"/>
  <c r="O682" i="5" s="1"/>
  <c r="N683" i="5"/>
  <c r="O683" i="5" s="1"/>
  <c r="N684" i="5"/>
  <c r="O684" i="5" s="1"/>
  <c r="B1329" i="5" l="1"/>
  <c r="B928" i="5"/>
  <c r="B911" i="5"/>
  <c r="B887" i="5"/>
  <c r="B888" i="5" s="1"/>
  <c r="N888" i="5" s="1"/>
  <c r="O888" i="5" s="1"/>
  <c r="O1364" i="5" l="1"/>
  <c r="N1364" i="5"/>
  <c r="B364" i="5"/>
  <c r="N313" i="5" l="1"/>
  <c r="O313" i="5" s="1"/>
  <c r="N314" i="5"/>
  <c r="O314" i="5" s="1"/>
  <c r="N315" i="5"/>
  <c r="O315" i="5" s="1"/>
  <c r="N316" i="5"/>
  <c r="O316" i="5" s="1"/>
  <c r="N317" i="5"/>
  <c r="O317" i="5" s="1"/>
  <c r="N318" i="5"/>
  <c r="O318" i="5" s="1"/>
  <c r="N319" i="5"/>
  <c r="O319" i="5" s="1"/>
  <c r="N320" i="5"/>
  <c r="O320" i="5" s="1"/>
  <c r="N321" i="5"/>
  <c r="O321" i="5" s="1"/>
  <c r="N322" i="5"/>
  <c r="O322" i="5" s="1"/>
  <c r="N323" i="5"/>
  <c r="O323" i="5" s="1"/>
  <c r="N326" i="5"/>
  <c r="O326" i="5" s="1"/>
  <c r="N327" i="5"/>
  <c r="O327" i="5" s="1"/>
  <c r="N328" i="5"/>
  <c r="O328" i="5" s="1"/>
  <c r="N329" i="5"/>
  <c r="O329" i="5" s="1"/>
  <c r="N337" i="5" l="1"/>
  <c r="O337" i="5" s="1"/>
  <c r="B366" i="5"/>
  <c r="N336" i="5"/>
  <c r="O336" i="5" s="1"/>
  <c r="B365" i="5"/>
  <c r="N88" i="5"/>
  <c r="N206" i="5" s="1"/>
  <c r="B17" i="5"/>
  <c r="B16" i="5"/>
  <c r="B15" i="5"/>
  <c r="B344" i="5" l="1"/>
  <c r="B342" i="5"/>
  <c r="B343" i="5"/>
  <c r="D3" i="8"/>
  <c r="C3" i="8"/>
  <c r="D5" i="8"/>
  <c r="D4" i="8"/>
  <c r="F3" i="8"/>
  <c r="C5" i="8"/>
  <c r="C4" i="8"/>
  <c r="O88" i="5"/>
  <c r="O206" i="5" s="1"/>
  <c r="N548" i="5"/>
  <c r="O548" i="5" s="1"/>
  <c r="N1676" i="5"/>
  <c r="B509" i="5"/>
  <c r="N508" i="5"/>
  <c r="O508" i="5" s="1"/>
  <c r="N507" i="5"/>
  <c r="O507" i="5" s="1"/>
  <c r="N506" i="5"/>
  <c r="O506" i="5" s="1"/>
  <c r="N505" i="5"/>
  <c r="O505" i="5" s="1"/>
  <c r="N504" i="5"/>
  <c r="B500" i="5"/>
  <c r="N499" i="5"/>
  <c r="O499" i="5" s="1"/>
  <c r="N498" i="5"/>
  <c r="O498" i="5" s="1"/>
  <c r="N497" i="5"/>
  <c r="O497" i="5" s="1"/>
  <c r="N496" i="5"/>
  <c r="O496" i="5" s="1"/>
  <c r="N495" i="5"/>
  <c r="O495" i="5" s="1"/>
  <c r="N494" i="5"/>
  <c r="O494" i="5" s="1"/>
  <c r="N493" i="5"/>
  <c r="O493" i="5" s="1"/>
  <c r="N492" i="5"/>
  <c r="O492" i="5" s="1"/>
  <c r="B487" i="5"/>
  <c r="N488" i="5" s="1"/>
  <c r="O488" i="5" s="1"/>
  <c r="N486" i="5"/>
  <c r="O486" i="5" s="1"/>
  <c r="N485" i="5"/>
  <c r="B483" i="5"/>
  <c r="B482" i="5"/>
  <c r="N481" i="5"/>
  <c r="O481" i="5" s="1"/>
  <c r="N480" i="5"/>
  <c r="N476" i="5"/>
  <c r="O476" i="5" s="1"/>
  <c r="N472" i="5"/>
  <c r="O472" i="5" s="1"/>
  <c r="B475" i="5"/>
  <c r="B477" i="5" s="1"/>
  <c r="N470" i="5"/>
  <c r="O470" i="5" s="1"/>
  <c r="N469" i="5"/>
  <c r="O469" i="5" s="1"/>
  <c r="N468" i="5"/>
  <c r="O468" i="5" s="1"/>
  <c r="B464" i="5"/>
  <c r="N463" i="5"/>
  <c r="O463" i="5" s="1"/>
  <c r="N462" i="5"/>
  <c r="O462" i="5" s="1"/>
  <c r="N461" i="5"/>
  <c r="O461" i="5" s="1"/>
  <c r="N460" i="5"/>
  <c r="B456" i="5"/>
  <c r="N456" i="5" s="1"/>
  <c r="N455" i="5"/>
  <c r="O455" i="5" s="1"/>
  <c r="N454" i="5"/>
  <c r="O454" i="5" s="1"/>
  <c r="N453" i="5"/>
  <c r="O453" i="5" s="1"/>
  <c r="N452" i="5"/>
  <c r="O452" i="5" s="1"/>
  <c r="N451" i="5"/>
  <c r="O451" i="5" s="1"/>
  <c r="N450" i="5"/>
  <c r="O450" i="5" s="1"/>
  <c r="N449" i="5"/>
  <c r="O449" i="5" s="1"/>
  <c r="N448" i="5"/>
  <c r="O448" i="5" s="1"/>
  <c r="N402" i="5"/>
  <c r="O402" i="5" s="1"/>
  <c r="N401" i="5"/>
  <c r="O401" i="5" s="1"/>
  <c r="N400" i="5"/>
  <c r="O400" i="5" s="1"/>
  <c r="N399" i="5"/>
  <c r="O399" i="5" s="1"/>
  <c r="N398" i="5"/>
  <c r="O398" i="5" s="1"/>
  <c r="N397" i="5"/>
  <c r="O397" i="5" s="1"/>
  <c r="N396" i="5"/>
  <c r="O396" i="5" s="1"/>
  <c r="B393" i="5"/>
  <c r="N392" i="5"/>
  <c r="O392" i="5" s="1"/>
  <c r="N391" i="5"/>
  <c r="N387" i="5"/>
  <c r="O387" i="5" s="1"/>
  <c r="N383" i="5"/>
  <c r="O383" i="5" s="1"/>
  <c r="B382" i="5"/>
  <c r="N381" i="5"/>
  <c r="O381" i="5" s="1"/>
  <c r="N380" i="5"/>
  <c r="O380" i="5" s="1"/>
  <c r="N379" i="5"/>
  <c r="O379" i="5" s="1"/>
  <c r="B3" i="8" l="1"/>
  <c r="B5" i="8"/>
  <c r="F4" i="8"/>
  <c r="F5" i="8"/>
  <c r="E4" i="8"/>
  <c r="E5" i="8"/>
  <c r="B4" i="8"/>
  <c r="C9" i="9"/>
  <c r="D9" i="9"/>
  <c r="B384" i="5"/>
  <c r="B386" i="5"/>
  <c r="N482" i="5"/>
  <c r="N509" i="5"/>
  <c r="B457" i="5"/>
  <c r="N409" i="5"/>
  <c r="N501" i="5"/>
  <c r="O501" i="5" s="1"/>
  <c r="N393" i="5"/>
  <c r="O409" i="5"/>
  <c r="N464" i="5"/>
  <c r="N487" i="5"/>
  <c r="O480" i="5"/>
  <c r="O482" i="5" s="1"/>
  <c r="O504" i="5"/>
  <c r="O509" i="5" s="1"/>
  <c r="N382" i="5"/>
  <c r="O382" i="5" s="1"/>
  <c r="N475" i="5"/>
  <c r="O475" i="5" s="1"/>
  <c r="N471" i="5"/>
  <c r="O471" i="5" s="1"/>
  <c r="N500" i="5"/>
  <c r="O500" i="5" s="1"/>
  <c r="O391" i="5"/>
  <c r="O393" i="5" s="1"/>
  <c r="O456" i="5"/>
  <c r="O460" i="5"/>
  <c r="O464" i="5" s="1"/>
  <c r="O485" i="5"/>
  <c r="O487" i="5" s="1"/>
  <c r="N457" i="5" l="1"/>
  <c r="O457" i="5" s="1"/>
  <c r="N477" i="5"/>
  <c r="O477" i="5" s="1"/>
  <c r="N473" i="5"/>
  <c r="O473" i="5" s="1"/>
  <c r="N384" i="5"/>
  <c r="O384" i="5" s="1"/>
  <c r="B388" i="5"/>
  <c r="N388" i="5" s="1"/>
  <c r="O388" i="5" s="1"/>
  <c r="N386" i="5"/>
  <c r="O386" i="5" s="1"/>
  <c r="B18" i="5" l="1"/>
  <c r="B1636" i="5" l="1"/>
  <c r="B1648" i="5" s="1"/>
  <c r="B1650" i="5" s="1"/>
  <c r="B737" i="5" l="1"/>
  <c r="B745" i="5" s="1"/>
  <c r="B623" i="5"/>
  <c r="B624" i="5" s="1"/>
  <c r="B747" i="5" l="1"/>
  <c r="B1384" i="5"/>
  <c r="B1363" i="5" s="1"/>
  <c r="B738" i="5"/>
  <c r="N1658" i="5"/>
  <c r="O1658" i="5" s="1"/>
  <c r="N1657" i="5"/>
  <c r="O1657" i="5" s="1"/>
  <c r="N646" i="5"/>
  <c r="O646" i="5" s="1"/>
  <c r="N645" i="5"/>
  <c r="O645" i="5" s="1"/>
  <c r="N644" i="5"/>
  <c r="O644" i="5" s="1"/>
  <c r="B648" i="5"/>
  <c r="B1334" i="5"/>
  <c r="B933" i="5"/>
  <c r="B916" i="5"/>
  <c r="B917" i="5" s="1"/>
  <c r="B869" i="5"/>
  <c r="B870" i="5" s="1"/>
  <c r="B782" i="5"/>
  <c r="B573" i="5"/>
  <c r="B564" i="5"/>
  <c r="B533" i="5" s="1"/>
  <c r="B552" i="5"/>
  <c r="B574" i="5" l="1"/>
  <c r="B589" i="5"/>
  <c r="O1384" i="5"/>
  <c r="B553" i="5"/>
  <c r="B565" i="5"/>
  <c r="B783" i="5"/>
  <c r="B786" i="5"/>
  <c r="B1408" i="5" s="1"/>
  <c r="N1408" i="5" s="1"/>
  <c r="B920" i="5"/>
  <c r="B1412" i="5" s="1"/>
  <c r="B934" i="5"/>
  <c r="N934" i="5" s="1"/>
  <c r="O934" i="5" s="1"/>
  <c r="B937" i="5"/>
  <c r="B1413" i="5" s="1"/>
  <c r="B1335" i="5"/>
  <c r="B1338" i="5"/>
  <c r="N870" i="5"/>
  <c r="O870" i="5" s="1"/>
  <c r="N648" i="5"/>
  <c r="O648" i="5" s="1"/>
  <c r="N643" i="5"/>
  <c r="N1412" i="5" l="1"/>
  <c r="N1413" i="5"/>
  <c r="B591" i="5"/>
  <c r="N589" i="5"/>
  <c r="O1412" i="5"/>
  <c r="O1408" i="5"/>
  <c r="O1413" i="5"/>
  <c r="N783" i="5"/>
  <c r="O783" i="5" s="1"/>
  <c r="N1335" i="5"/>
  <c r="O1335" i="5" s="1"/>
  <c r="N917" i="5"/>
  <c r="O917" i="5" s="1"/>
  <c r="O643" i="5"/>
  <c r="O647" i="5" s="1"/>
  <c r="N647" i="5"/>
  <c r="N591" i="5" l="1"/>
  <c r="O589" i="5"/>
  <c r="O591" i="5" s="1"/>
  <c r="H6" i="8"/>
  <c r="B686" i="5"/>
  <c r="B559" i="5"/>
  <c r="D6" i="8" l="1"/>
  <c r="F6" i="8"/>
  <c r="C6" i="8"/>
  <c r="E6" i="8"/>
  <c r="G6" i="11"/>
  <c r="B560" i="5"/>
  <c r="N560" i="5" s="1"/>
  <c r="O560" i="5" s="1"/>
  <c r="B532" i="5"/>
  <c r="B534" i="5" s="1"/>
  <c r="B693" i="5"/>
  <c r="B1381" i="5" s="1"/>
  <c r="B1430" i="5"/>
  <c r="N1317" i="5"/>
  <c r="N1320" i="5"/>
  <c r="O1320" i="5" s="1"/>
  <c r="N1319" i="5"/>
  <c r="O1319" i="5" s="1"/>
  <c r="N1318" i="5"/>
  <c r="O1318" i="5" s="1"/>
  <c r="O1317" i="5" l="1"/>
  <c r="N1321" i="5"/>
  <c r="O1381" i="5"/>
  <c r="B1322" i="5"/>
  <c r="B690" i="5"/>
  <c r="N689" i="5"/>
  <c r="O689" i="5" s="1"/>
  <c r="O690" i="5" s="1"/>
  <c r="N1430" i="5" l="1"/>
  <c r="O1430" i="5"/>
  <c r="B691" i="5"/>
  <c r="N691" i="5" s="1"/>
  <c r="O691" i="5" s="1"/>
  <c r="B694" i="5"/>
  <c r="B1402" i="5" s="1"/>
  <c r="B1360" i="5" s="1"/>
  <c r="N1322" i="5"/>
  <c r="O1322" i="5" s="1"/>
  <c r="N686" i="5"/>
  <c r="O686" i="5" s="1"/>
  <c r="N690" i="5"/>
  <c r="O685" i="5"/>
  <c r="N685" i="5"/>
  <c r="N694" i="5" l="1"/>
  <c r="O694" i="5" s="1"/>
  <c r="B695" i="5"/>
  <c r="N693" i="5"/>
  <c r="O693" i="5" s="1"/>
  <c r="O1360" i="5" l="1"/>
  <c r="N1360" i="5"/>
  <c r="O695" i="5"/>
  <c r="N695" i="5"/>
  <c r="N1301" i="5"/>
  <c r="O1301" i="5" s="1"/>
  <c r="N1302" i="5"/>
  <c r="O1302" i="5" s="1"/>
  <c r="N1303" i="5"/>
  <c r="O1303" i="5" s="1"/>
  <c r="N1304" i="5"/>
  <c r="O1304" i="5" s="1"/>
  <c r="B1305" i="5"/>
  <c r="B1077" i="5"/>
  <c r="N1075" i="5"/>
  <c r="O1075" i="5" s="1"/>
  <c r="N1074" i="5"/>
  <c r="O1074" i="5" s="1"/>
  <c r="N1333" i="5"/>
  <c r="N1328" i="5"/>
  <c r="O1328" i="5" s="1"/>
  <c r="N1327" i="5"/>
  <c r="O1327" i="5" s="1"/>
  <c r="N1326" i="5"/>
  <c r="O1326" i="5" s="1"/>
  <c r="N932" i="5"/>
  <c r="N927" i="5"/>
  <c r="O927" i="5" s="1"/>
  <c r="N926" i="5"/>
  <c r="O926" i="5" s="1"/>
  <c r="N925" i="5"/>
  <c r="O925" i="5" s="1"/>
  <c r="N915" i="5"/>
  <c r="N910" i="5"/>
  <c r="O910" i="5" s="1"/>
  <c r="N909" i="5"/>
  <c r="O909" i="5" s="1"/>
  <c r="N908" i="5"/>
  <c r="B873" i="5"/>
  <c r="B1410" i="5" s="1"/>
  <c r="N1410" i="5" s="1"/>
  <c r="N868" i="5"/>
  <c r="B864" i="5"/>
  <c r="N863" i="5"/>
  <c r="O863" i="5" s="1"/>
  <c r="N862" i="5"/>
  <c r="O862" i="5" s="1"/>
  <c r="N861" i="5"/>
  <c r="O861" i="5" s="1"/>
  <c r="B765" i="5"/>
  <c r="N764" i="5"/>
  <c r="O764" i="5" s="1"/>
  <c r="O765" i="5" s="1"/>
  <c r="B760" i="5"/>
  <c r="N759" i="5"/>
  <c r="O759" i="5" s="1"/>
  <c r="N758" i="5"/>
  <c r="O758" i="5" s="1"/>
  <c r="N757" i="5"/>
  <c r="O757" i="5" s="1"/>
  <c r="N741" i="5"/>
  <c r="O741" i="5" s="1"/>
  <c r="O742" i="5" s="1"/>
  <c r="N736" i="5"/>
  <c r="O736" i="5" s="1"/>
  <c r="B1100" i="5" l="1"/>
  <c r="B1394" i="5" s="1"/>
  <c r="O1410" i="5"/>
  <c r="O1363" i="5"/>
  <c r="N1363" i="5"/>
  <c r="B768" i="5"/>
  <c r="B1386" i="5" s="1"/>
  <c r="B761" i="5"/>
  <c r="B872" i="5"/>
  <c r="B1389" i="5" s="1"/>
  <c r="B1368" i="5" s="1"/>
  <c r="B919" i="5"/>
  <c r="B1391" i="5" s="1"/>
  <c r="B1370" i="5" s="1"/>
  <c r="B936" i="5"/>
  <c r="B1392" i="5" s="1"/>
  <c r="B1371" i="5" s="1"/>
  <c r="B1337" i="5"/>
  <c r="B1312" i="5"/>
  <c r="B1429" i="5" s="1"/>
  <c r="B1306" i="5"/>
  <c r="B766" i="5"/>
  <c r="B769" i="5"/>
  <c r="B1407" i="5" s="1"/>
  <c r="N1407" i="5" s="1"/>
  <c r="B1078" i="5"/>
  <c r="O868" i="5"/>
  <c r="O869" i="5" s="1"/>
  <c r="N869" i="5"/>
  <c r="O915" i="5"/>
  <c r="O916" i="5" s="1"/>
  <c r="N916" i="5"/>
  <c r="O932" i="5"/>
  <c r="O933" i="5" s="1"/>
  <c r="N933" i="5"/>
  <c r="O1333" i="5"/>
  <c r="O1334" i="5" s="1"/>
  <c r="N1334" i="5"/>
  <c r="N1305" i="5"/>
  <c r="O1305" i="5"/>
  <c r="O1312" i="5" s="1"/>
  <c r="N911" i="5"/>
  <c r="N920" i="5"/>
  <c r="N921" i="5" s="1"/>
  <c r="O928" i="5"/>
  <c r="N937" i="5"/>
  <c r="O937" i="5" s="1"/>
  <c r="O1329" i="5"/>
  <c r="N1338" i="5"/>
  <c r="O1338" i="5" s="1"/>
  <c r="O908" i="5"/>
  <c r="O911" i="5" s="1"/>
  <c r="O919" i="5" s="1"/>
  <c r="N1329" i="5"/>
  <c r="N928" i="5"/>
  <c r="O864" i="5"/>
  <c r="N873" i="5"/>
  <c r="O873" i="5" s="1"/>
  <c r="N864" i="5"/>
  <c r="O760" i="5"/>
  <c r="N760" i="5"/>
  <c r="N765" i="5"/>
  <c r="N742" i="5"/>
  <c r="O737" i="5"/>
  <c r="N737" i="5"/>
  <c r="N964" i="5"/>
  <c r="O964" i="5" s="1"/>
  <c r="N960" i="5"/>
  <c r="O960" i="5" s="1"/>
  <c r="N956" i="5"/>
  <c r="O956" i="5" s="1"/>
  <c r="N955" i="5"/>
  <c r="O955" i="5" s="1"/>
  <c r="N953" i="5"/>
  <c r="O953" i="5" s="1"/>
  <c r="N951" i="5"/>
  <c r="O951" i="5" s="1"/>
  <c r="N949" i="5"/>
  <c r="O949" i="5" s="1"/>
  <c r="N948" i="5"/>
  <c r="O948" i="5" s="1"/>
  <c r="B1365" i="5" l="1"/>
  <c r="O1407" i="5"/>
  <c r="O1368" i="5"/>
  <c r="O1389" i="5"/>
  <c r="O1392" i="5"/>
  <c r="O1391" i="5"/>
  <c r="O1386" i="5"/>
  <c r="B1093" i="5"/>
  <c r="N1093" i="5" s="1"/>
  <c r="O1093" i="5" s="1"/>
  <c r="B1096" i="5"/>
  <c r="N1386" i="5"/>
  <c r="N1384" i="5"/>
  <c r="B874" i="5"/>
  <c r="N1337" i="5"/>
  <c r="N1339" i="5" s="1"/>
  <c r="B1339" i="5"/>
  <c r="B1313" i="5"/>
  <c r="B938" i="5"/>
  <c r="B921" i="5"/>
  <c r="N766" i="5"/>
  <c r="O766" i="5" s="1"/>
  <c r="N769" i="5"/>
  <c r="O769" i="5" s="1"/>
  <c r="N746" i="5"/>
  <c r="O746" i="5" s="1"/>
  <c r="N872" i="5"/>
  <c r="N874" i="5" s="1"/>
  <c r="N743" i="5"/>
  <c r="O743" i="5" s="1"/>
  <c r="N738" i="5"/>
  <c r="O738" i="5" s="1"/>
  <c r="N768" i="5"/>
  <c r="O768" i="5" s="1"/>
  <c r="N936" i="5"/>
  <c r="N938" i="5" s="1"/>
  <c r="B770" i="5"/>
  <c r="O920" i="5"/>
  <c r="O921" i="5" s="1"/>
  <c r="N1312" i="5"/>
  <c r="N1306" i="5"/>
  <c r="O1306" i="5" s="1"/>
  <c r="N1330" i="5"/>
  <c r="O1330" i="5" s="1"/>
  <c r="N929" i="5"/>
  <c r="O929" i="5" s="1"/>
  <c r="N912" i="5"/>
  <c r="O912" i="5" s="1"/>
  <c r="N865" i="5"/>
  <c r="O865" i="5" s="1"/>
  <c r="N745" i="5"/>
  <c r="N761" i="5"/>
  <c r="O761" i="5" s="1"/>
  <c r="B599" i="5"/>
  <c r="B600" i="5" s="1"/>
  <c r="N1368" i="5" l="1"/>
  <c r="O1365" i="5"/>
  <c r="N1365" i="5"/>
  <c r="O1371" i="5"/>
  <c r="N1371" i="5"/>
  <c r="O1370" i="5"/>
  <c r="N1370" i="5"/>
  <c r="B1097" i="5"/>
  <c r="B1101" i="5" s="1"/>
  <c r="B1415" i="5" s="1"/>
  <c r="N1096" i="5"/>
  <c r="B1431" i="5"/>
  <c r="N1431" i="5" s="1"/>
  <c r="O1337" i="5"/>
  <c r="O1339" i="5" s="1"/>
  <c r="N1429" i="5"/>
  <c r="N1389" i="5"/>
  <c r="N1391" i="5"/>
  <c r="N1392" i="5"/>
  <c r="N1313" i="5"/>
  <c r="O1313" i="5" s="1"/>
  <c r="O1429" i="5"/>
  <c r="O770" i="5"/>
  <c r="O936" i="5"/>
  <c r="O938" i="5" s="1"/>
  <c r="N770" i="5"/>
  <c r="O872" i="5"/>
  <c r="O874" i="5" s="1"/>
  <c r="O745" i="5"/>
  <c r="O747" i="5" s="1"/>
  <c r="N747" i="5"/>
  <c r="O676" i="5"/>
  <c r="N539" i="5"/>
  <c r="O539" i="5" s="1"/>
  <c r="N1415" i="5" l="1"/>
  <c r="B1373" i="5"/>
  <c r="O1415" i="5"/>
  <c r="B1098" i="5"/>
  <c r="N1098" i="5" s="1"/>
  <c r="O1098" i="5" s="1"/>
  <c r="N1097" i="5"/>
  <c r="O1096" i="5"/>
  <c r="O1097" i="5" s="1"/>
  <c r="N563" i="5"/>
  <c r="O563" i="5" s="1"/>
  <c r="N1101" i="5" l="1"/>
  <c r="B1102" i="5"/>
  <c r="N533" i="5"/>
  <c r="O533" i="5" s="1"/>
  <c r="O1101" i="5" l="1"/>
  <c r="N243" i="5"/>
  <c r="L3" i="11" l="1"/>
  <c r="K4" i="11" l="1"/>
  <c r="K3" i="11"/>
  <c r="K5" i="11"/>
  <c r="N1670" i="5" l="1"/>
  <c r="O1670" i="5" s="1"/>
  <c r="B1293" i="5" l="1"/>
  <c r="B1428" i="5" s="1"/>
  <c r="N1292" i="5"/>
  <c r="O1292" i="5" s="1"/>
  <c r="N1291" i="5"/>
  <c r="O1291" i="5" s="1"/>
  <c r="N1290" i="5"/>
  <c r="B1294" i="5" l="1"/>
  <c r="N1293" i="5"/>
  <c r="O1290" i="5"/>
  <c r="O1293" i="5" s="1"/>
  <c r="L5" i="11"/>
  <c r="L4" i="11"/>
  <c r="N1428" i="5" l="1"/>
  <c r="O1428" i="5"/>
  <c r="J4" i="11"/>
  <c r="J3" i="11"/>
  <c r="J5" i="11"/>
  <c r="N1294" i="5"/>
  <c r="O1294" i="5" s="1"/>
  <c r="I3" i="11" l="1"/>
  <c r="I5" i="11"/>
  <c r="I4" i="11"/>
  <c r="N672" i="5" l="1"/>
  <c r="H5" i="11" l="1"/>
  <c r="H4" i="11"/>
  <c r="H3" i="11"/>
  <c r="N1643" i="5" l="1"/>
  <c r="F3" i="11" l="1"/>
  <c r="F5" i="11" l="1"/>
  <c r="F4" i="11"/>
  <c r="N1660" i="5"/>
  <c r="O1660" i="5" s="1"/>
  <c r="N1652" i="5"/>
  <c r="O1652" i="5" s="1"/>
  <c r="N1647" i="5"/>
  <c r="O1647" i="5" s="1"/>
  <c r="N1646" i="5"/>
  <c r="O1646" i="5" s="1"/>
  <c r="N1645" i="5"/>
  <c r="O1645" i="5" s="1"/>
  <c r="N1644" i="5"/>
  <c r="O1644" i="5" s="1"/>
  <c r="O1643" i="5"/>
  <c r="N1640" i="5"/>
  <c r="O1640" i="5" s="1"/>
  <c r="N1639" i="5"/>
  <c r="O1639" i="5" s="1"/>
  <c r="N1635" i="5"/>
  <c r="O1635" i="5" s="1"/>
  <c r="N1634" i="5"/>
  <c r="O1634" i="5" s="1"/>
  <c r="N1633" i="5"/>
  <c r="O1633" i="5" s="1"/>
  <c r="N1632" i="5"/>
  <c r="O1632" i="5" s="1"/>
  <c r="N1631" i="5"/>
  <c r="O1631" i="5" s="1"/>
  <c r="N1630" i="5"/>
  <c r="O1630" i="5" s="1"/>
  <c r="N1629" i="5"/>
  <c r="O1629" i="5" s="1"/>
  <c r="N1628" i="5"/>
  <c r="N1623" i="5"/>
  <c r="O1623" i="5" s="1"/>
  <c r="N1583" i="5"/>
  <c r="O1583" i="5" s="1"/>
  <c r="N1527" i="5"/>
  <c r="N1579" i="5" s="1"/>
  <c r="B1524" i="5"/>
  <c r="N1521" i="5"/>
  <c r="O1521" i="5" s="1"/>
  <c r="N1520" i="5"/>
  <c r="O1520" i="5" s="1"/>
  <c r="N1522" i="5"/>
  <c r="O1522" i="5" s="1"/>
  <c r="N1519" i="5"/>
  <c r="O1519" i="5" s="1"/>
  <c r="N1518" i="5"/>
  <c r="O1518" i="5" s="1"/>
  <c r="N1517" i="5"/>
  <c r="O1517" i="5" s="1"/>
  <c r="N1516" i="5"/>
  <c r="O1516" i="5" s="1"/>
  <c r="N1515" i="5"/>
  <c r="O1515" i="5" s="1"/>
  <c r="N1514" i="5"/>
  <c r="O1514" i="5" s="1"/>
  <c r="N1513" i="5"/>
  <c r="O1513" i="5" s="1"/>
  <c r="N1512" i="5"/>
  <c r="O1512" i="5" s="1"/>
  <c r="N1511" i="5"/>
  <c r="N1481" i="5"/>
  <c r="O1481" i="5" s="1"/>
  <c r="N1477" i="5"/>
  <c r="O1477" i="5" s="1"/>
  <c r="B1458" i="5"/>
  <c r="B1459" i="5" s="1"/>
  <c r="N1457" i="5"/>
  <c r="O1457" i="5" s="1"/>
  <c r="N1456" i="5"/>
  <c r="O1456" i="5" s="1"/>
  <c r="N1455" i="5"/>
  <c r="O1455" i="5" s="1"/>
  <c r="N1453" i="5"/>
  <c r="O1453" i="5" s="1"/>
  <c r="N1452" i="5"/>
  <c r="O1452" i="5" s="1"/>
  <c r="B1448" i="5"/>
  <c r="N1447" i="5"/>
  <c r="O1447" i="5" s="1"/>
  <c r="N1446" i="5"/>
  <c r="O1446" i="5" s="1"/>
  <c r="N1445" i="5"/>
  <c r="O1445" i="5" s="1"/>
  <c r="N1444" i="5"/>
  <c r="O1444" i="5" s="1"/>
  <c r="N1443" i="5"/>
  <c r="O1443" i="5" s="1"/>
  <c r="N1442" i="5"/>
  <c r="O1442" i="5" s="1"/>
  <c r="N1441" i="5"/>
  <c r="O1441" i="5" s="1"/>
  <c r="N1440" i="5"/>
  <c r="O1440" i="5" s="1"/>
  <c r="N1439" i="5"/>
  <c r="O1439" i="5" s="1"/>
  <c r="O1431" i="5"/>
  <c r="N781" i="5"/>
  <c r="B777" i="5"/>
  <c r="N776" i="5"/>
  <c r="O776" i="5" s="1"/>
  <c r="N775" i="5"/>
  <c r="O775" i="5" s="1"/>
  <c r="N774" i="5"/>
  <c r="N1409" i="5"/>
  <c r="B1208" i="5"/>
  <c r="B1212" i="5" s="1"/>
  <c r="B1417" i="5" s="1"/>
  <c r="N1417" i="5" s="1"/>
  <c r="N1207" i="5"/>
  <c r="O1207" i="5" s="1"/>
  <c r="N1206" i="5"/>
  <c r="O1206" i="5" s="1"/>
  <c r="N1205" i="5"/>
  <c r="O1205" i="5" s="1"/>
  <c r="N1204" i="5"/>
  <c r="O1204" i="5" s="1"/>
  <c r="N1203" i="5"/>
  <c r="O1203" i="5" s="1"/>
  <c r="N1202" i="5"/>
  <c r="O1202" i="5" s="1"/>
  <c r="N1201" i="5"/>
  <c r="B1197" i="5"/>
  <c r="N1196" i="5"/>
  <c r="O1196" i="5" s="1"/>
  <c r="N1195" i="5"/>
  <c r="O1195" i="5" s="1"/>
  <c r="N1194" i="5"/>
  <c r="O1194" i="5" s="1"/>
  <c r="B1190" i="5"/>
  <c r="B1191" i="5" s="1"/>
  <c r="N1189" i="5"/>
  <c r="O1189" i="5" s="1"/>
  <c r="N1188" i="5"/>
  <c r="O1188" i="5" s="1"/>
  <c r="N1187" i="5"/>
  <c r="O1187" i="5" s="1"/>
  <c r="N1186" i="5"/>
  <c r="O1186" i="5" s="1"/>
  <c r="N1185" i="5"/>
  <c r="O1185" i="5" s="1"/>
  <c r="N1184" i="5"/>
  <c r="O1184" i="5" s="1"/>
  <c r="N1183" i="5"/>
  <c r="O1183" i="5" s="1"/>
  <c r="B1172" i="5"/>
  <c r="B1167" i="5"/>
  <c r="B1416" i="5" s="1"/>
  <c r="N1416" i="5" s="1"/>
  <c r="N1161" i="5"/>
  <c r="O1161" i="5" s="1"/>
  <c r="N1160" i="5"/>
  <c r="O1160" i="5" s="1"/>
  <c r="N1159" i="5"/>
  <c r="O1159" i="5" s="1"/>
  <c r="N1158" i="5"/>
  <c r="O1158" i="5" s="1"/>
  <c r="N1157" i="5"/>
  <c r="O1157" i="5" s="1"/>
  <c r="N1156" i="5"/>
  <c r="O1156" i="5" s="1"/>
  <c r="N1155" i="5"/>
  <c r="O1155" i="5" s="1"/>
  <c r="N1154" i="5"/>
  <c r="O1154" i="5" s="1"/>
  <c r="N1153" i="5"/>
  <c r="O1153" i="5" s="1"/>
  <c r="N1152" i="5"/>
  <c r="O1152" i="5" s="1"/>
  <c r="N1151" i="5"/>
  <c r="O1151" i="5" s="1"/>
  <c r="N1150" i="5"/>
  <c r="O1150" i="5" s="1"/>
  <c r="N1149" i="5"/>
  <c r="O1149" i="5" s="1"/>
  <c r="B1145" i="5"/>
  <c r="N1144" i="5"/>
  <c r="O1144" i="5" s="1"/>
  <c r="N1143" i="5"/>
  <c r="O1143" i="5" s="1"/>
  <c r="N1142" i="5"/>
  <c r="O1142" i="5" s="1"/>
  <c r="N1136" i="5"/>
  <c r="O1136" i="5" s="1"/>
  <c r="N1135" i="5"/>
  <c r="O1135" i="5" s="1"/>
  <c r="N1134" i="5"/>
  <c r="O1134" i="5" s="1"/>
  <c r="N1133" i="5"/>
  <c r="O1133" i="5" s="1"/>
  <c r="N1132" i="5"/>
  <c r="O1132" i="5" s="1"/>
  <c r="N1131" i="5"/>
  <c r="O1131" i="5" s="1"/>
  <c r="N1130" i="5"/>
  <c r="O1130" i="5" s="1"/>
  <c r="N1129" i="5"/>
  <c r="O1129" i="5" s="1"/>
  <c r="N1128" i="5"/>
  <c r="O1128" i="5" s="1"/>
  <c r="N1127" i="5"/>
  <c r="O1127" i="5" s="1"/>
  <c r="N1126" i="5"/>
  <c r="O1126" i="5" s="1"/>
  <c r="N1125" i="5"/>
  <c r="O1125" i="5" s="1"/>
  <c r="N1124" i="5"/>
  <c r="B1118" i="5"/>
  <c r="B1117" i="5"/>
  <c r="B1116" i="5"/>
  <c r="B1115" i="5"/>
  <c r="B1114" i="5"/>
  <c r="B1113" i="5"/>
  <c r="B1112" i="5"/>
  <c r="B1111" i="5"/>
  <c r="B1110" i="5"/>
  <c r="B1109" i="5"/>
  <c r="B1108" i="5"/>
  <c r="B1107" i="5"/>
  <c r="B1106" i="5"/>
  <c r="B1273" i="5"/>
  <c r="B1276" i="5" s="1"/>
  <c r="B1277" i="5" s="1"/>
  <c r="N1272" i="5"/>
  <c r="O1272" i="5" s="1"/>
  <c r="N1271" i="5"/>
  <c r="O1271" i="5" s="1"/>
  <c r="B1030" i="5"/>
  <c r="N1029" i="5"/>
  <c r="O1029" i="5" s="1"/>
  <c r="N1028" i="5"/>
  <c r="O1028" i="5" s="1"/>
  <c r="N1027" i="5"/>
  <c r="O1027" i="5" s="1"/>
  <c r="N1026" i="5"/>
  <c r="O1026" i="5" s="1"/>
  <c r="N1025" i="5"/>
  <c r="O1025" i="5" s="1"/>
  <c r="N1024" i="5"/>
  <c r="O1024" i="5" s="1"/>
  <c r="N1023" i="5"/>
  <c r="O1023" i="5" s="1"/>
  <c r="N1022" i="5"/>
  <c r="O1022" i="5" s="1"/>
  <c r="N1021" i="5"/>
  <c r="O1021" i="5" s="1"/>
  <c r="N1009" i="5"/>
  <c r="O1009" i="5" s="1"/>
  <c r="N1008" i="5"/>
  <c r="O1008" i="5" s="1"/>
  <c r="N1006" i="5"/>
  <c r="O1006" i="5" s="1"/>
  <c r="B1002" i="5"/>
  <c r="N965" i="5" s="1"/>
  <c r="O965" i="5" s="1"/>
  <c r="N1001" i="5"/>
  <c r="O1001" i="5" s="1"/>
  <c r="N1000" i="5"/>
  <c r="O1000" i="5" s="1"/>
  <c r="N999" i="5"/>
  <c r="O999" i="5" s="1"/>
  <c r="N998" i="5"/>
  <c r="O998" i="5" s="1"/>
  <c r="N993" i="5"/>
  <c r="O993" i="5" s="1"/>
  <c r="N992" i="5"/>
  <c r="O992" i="5" s="1"/>
  <c r="N991" i="5"/>
  <c r="O991" i="5" s="1"/>
  <c r="N990" i="5"/>
  <c r="O990" i="5" s="1"/>
  <c r="N989" i="5"/>
  <c r="O989" i="5" s="1"/>
  <c r="N988" i="5"/>
  <c r="O988" i="5" s="1"/>
  <c r="N987" i="5"/>
  <c r="O987" i="5" s="1"/>
  <c r="N976" i="5"/>
  <c r="O976" i="5" s="1"/>
  <c r="N975" i="5"/>
  <c r="O975" i="5" s="1"/>
  <c r="N974" i="5"/>
  <c r="O974" i="5" s="1"/>
  <c r="N973" i="5"/>
  <c r="O973" i="5" s="1"/>
  <c r="N972" i="5"/>
  <c r="O972" i="5" s="1"/>
  <c r="N970" i="5"/>
  <c r="O970" i="5" s="1"/>
  <c r="B966" i="5"/>
  <c r="B967" i="5" s="1"/>
  <c r="N942" i="5"/>
  <c r="B899" i="5"/>
  <c r="N898" i="5"/>
  <c r="N899" i="5" s="1"/>
  <c r="B894" i="5"/>
  <c r="N893" i="5"/>
  <c r="O893" i="5" s="1"/>
  <c r="N892" i="5"/>
  <c r="O892" i="5" s="1"/>
  <c r="N891" i="5"/>
  <c r="O891" i="5" s="1"/>
  <c r="N886" i="5"/>
  <c r="O886" i="5" s="1"/>
  <c r="N885" i="5"/>
  <c r="O885" i="5" s="1"/>
  <c r="N884" i="5"/>
  <c r="O884" i="5" s="1"/>
  <c r="N883" i="5"/>
  <c r="O883" i="5" s="1"/>
  <c r="N882" i="5"/>
  <c r="O882" i="5" s="1"/>
  <c r="N881" i="5"/>
  <c r="O881" i="5" s="1"/>
  <c r="N880" i="5"/>
  <c r="O880" i="5" s="1"/>
  <c r="N879" i="5"/>
  <c r="O879" i="5" s="1"/>
  <c r="N878" i="5"/>
  <c r="O878" i="5" s="1"/>
  <c r="N675" i="5"/>
  <c r="O675" i="5" s="1"/>
  <c r="N674" i="5"/>
  <c r="O674" i="5" s="1"/>
  <c r="N673" i="5"/>
  <c r="O673" i="5" s="1"/>
  <c r="O672" i="5"/>
  <c r="N671" i="5"/>
  <c r="O671" i="5" s="1"/>
  <c r="N670" i="5"/>
  <c r="O670" i="5" s="1"/>
  <c r="N669" i="5"/>
  <c r="O669" i="5" s="1"/>
  <c r="N668" i="5"/>
  <c r="O668" i="5" s="1"/>
  <c r="N667" i="5"/>
  <c r="O667" i="5" s="1"/>
  <c r="N622" i="5"/>
  <c r="O622" i="5" s="1"/>
  <c r="N621" i="5"/>
  <c r="N572" i="5"/>
  <c r="O572" i="5" s="1"/>
  <c r="N571" i="5"/>
  <c r="O571" i="5" s="1"/>
  <c r="N570" i="5"/>
  <c r="O570" i="5" s="1"/>
  <c r="N558" i="5"/>
  <c r="O558" i="5" s="1"/>
  <c r="N557" i="5"/>
  <c r="O557" i="5" s="1"/>
  <c r="N546" i="5"/>
  <c r="O546" i="5" s="1"/>
  <c r="N545" i="5"/>
  <c r="O545" i="5" s="1"/>
  <c r="N544" i="5"/>
  <c r="O544" i="5" s="1"/>
  <c r="N543" i="5"/>
  <c r="O543" i="5" s="1"/>
  <c r="N542" i="5"/>
  <c r="O542" i="5" s="1"/>
  <c r="N541" i="5"/>
  <c r="O541" i="5" s="1"/>
  <c r="N540" i="5"/>
  <c r="O540" i="5" s="1"/>
  <c r="N556" i="5"/>
  <c r="N538" i="5"/>
  <c r="N526" i="5"/>
  <c r="O526" i="5" s="1"/>
  <c r="N522" i="5"/>
  <c r="O522" i="5" s="1"/>
  <c r="N523" i="5"/>
  <c r="O523" i="5" s="1"/>
  <c r="N527" i="5"/>
  <c r="O527" i="5" s="1"/>
  <c r="N524" i="5"/>
  <c r="N518" i="5"/>
  <c r="O518" i="5" s="1"/>
  <c r="N517" i="5"/>
  <c r="O517" i="5" s="1"/>
  <c r="N516" i="5"/>
  <c r="O516" i="5" s="1"/>
  <c r="N515" i="5"/>
  <c r="O515" i="5" s="1"/>
  <c r="B519" i="5"/>
  <c r="N513" i="5"/>
  <c r="O513" i="5" s="1"/>
  <c r="N306" i="5"/>
  <c r="N300" i="5"/>
  <c r="N290" i="5"/>
  <c r="N272" i="5"/>
  <c r="N249" i="5"/>
  <c r="B246" i="5"/>
  <c r="O243" i="5"/>
  <c r="B240" i="5"/>
  <c r="N220" i="5"/>
  <c r="B217" i="5"/>
  <c r="B84" i="5"/>
  <c r="B85" i="5" s="1"/>
  <c r="N81" i="5"/>
  <c r="O57" i="5"/>
  <c r="B53" i="5"/>
  <c r="B1653" i="5" s="1"/>
  <c r="B52" i="5"/>
  <c r="B48" i="5"/>
  <c r="N45" i="5"/>
  <c r="N48" i="5" s="1"/>
  <c r="B42" i="5"/>
  <c r="N21" i="5"/>
  <c r="L5" i="8"/>
  <c r="K5" i="8"/>
  <c r="J5" i="8"/>
  <c r="I5" i="8"/>
  <c r="G5" i="8"/>
  <c r="L4" i="8"/>
  <c r="K4" i="8"/>
  <c r="J4" i="8"/>
  <c r="I4" i="8"/>
  <c r="G4" i="8"/>
  <c r="L3" i="8"/>
  <c r="J3" i="8"/>
  <c r="I3" i="8"/>
  <c r="B12" i="5"/>
  <c r="N9" i="5"/>
  <c r="O21" i="5" l="1"/>
  <c r="O42" i="5" s="1"/>
  <c r="N42" i="5"/>
  <c r="O556" i="5"/>
  <c r="O559" i="5" s="1"/>
  <c r="N559" i="5"/>
  <c r="O1416" i="5"/>
  <c r="O1409" i="5"/>
  <c r="O1417" i="5"/>
  <c r="O1388" i="5"/>
  <c r="N1388" i="5"/>
  <c r="O524" i="5"/>
  <c r="B54" i="5"/>
  <c r="B1666" i="5" s="1"/>
  <c r="N85" i="5"/>
  <c r="O85" i="5" s="1"/>
  <c r="B995" i="5"/>
  <c r="N957" i="5"/>
  <c r="O957" i="5" s="1"/>
  <c r="O942" i="5"/>
  <c r="B1179" i="5"/>
  <c r="B1180" i="5" s="1"/>
  <c r="N1180" i="5" s="1"/>
  <c r="O1180" i="5" s="1"/>
  <c r="M3" i="8"/>
  <c r="M4" i="8"/>
  <c r="M5" i="8"/>
  <c r="D4" i="11"/>
  <c r="D6" i="11"/>
  <c r="N53" i="5"/>
  <c r="O53" i="5" s="1"/>
  <c r="N16" i="5"/>
  <c r="O16" i="5" s="1"/>
  <c r="N17" i="5"/>
  <c r="O17" i="5" s="1"/>
  <c r="N52" i="5"/>
  <c r="O52" i="5" s="1"/>
  <c r="B1296" i="5"/>
  <c r="B1427" i="5"/>
  <c r="B1433" i="5" s="1"/>
  <c r="O1511" i="5"/>
  <c r="O1523" i="5" s="1"/>
  <c r="N1523" i="5"/>
  <c r="B1664" i="5"/>
  <c r="B345" i="5"/>
  <c r="B1003" i="5"/>
  <c r="B1038" i="5"/>
  <c r="B1393" i="5" s="1"/>
  <c r="B1146" i="5"/>
  <c r="N1146" i="5" s="1"/>
  <c r="O1146" i="5" s="1"/>
  <c r="B1166" i="5"/>
  <c r="B1395" i="5" s="1"/>
  <c r="B1374" i="5" s="1"/>
  <c r="B1274" i="5"/>
  <c r="B1198" i="5"/>
  <c r="B1211" i="5"/>
  <c r="B1396" i="5" s="1"/>
  <c r="B1375" i="5" s="1"/>
  <c r="N1659" i="5"/>
  <c r="O1659" i="5" s="1"/>
  <c r="B900" i="5"/>
  <c r="N900" i="5" s="1"/>
  <c r="O900" i="5" s="1"/>
  <c r="B903" i="5"/>
  <c r="B1411" i="5" s="1"/>
  <c r="N1411" i="5" s="1"/>
  <c r="B1039" i="5"/>
  <c r="B1414" i="5" s="1"/>
  <c r="B1031" i="5"/>
  <c r="B1139" i="5"/>
  <c r="B785" i="5"/>
  <c r="B1387" i="5" s="1"/>
  <c r="B1366" i="5" s="1"/>
  <c r="B778" i="5"/>
  <c r="B902" i="5"/>
  <c r="B1390" i="5" s="1"/>
  <c r="B895" i="5"/>
  <c r="B1164" i="5"/>
  <c r="B1209" i="5"/>
  <c r="B1449" i="5"/>
  <c r="B1673" i="5" s="1"/>
  <c r="O781" i="5"/>
  <c r="O782" i="5" s="1"/>
  <c r="N782" i="5"/>
  <c r="N624" i="5"/>
  <c r="O624" i="5" s="1"/>
  <c r="N600" i="5"/>
  <c r="O600" i="5" s="1"/>
  <c r="K6" i="11"/>
  <c r="N364" i="5"/>
  <c r="N365" i="5"/>
  <c r="N1621" i="5"/>
  <c r="N552" i="5"/>
  <c r="J6" i="11"/>
  <c r="L6" i="11"/>
  <c r="I6" i="11"/>
  <c r="G6" i="8"/>
  <c r="G3" i="8"/>
  <c r="H6" i="11"/>
  <c r="N1479" i="5"/>
  <c r="O1479" i="5" s="1"/>
  <c r="N1649" i="5"/>
  <c r="O1649" i="5" s="1"/>
  <c r="N240" i="5"/>
  <c r="N1478" i="5"/>
  <c r="O1478" i="5" s="1"/>
  <c r="N1480" i="5"/>
  <c r="O1480" i="5" s="1"/>
  <c r="N1482" i="5"/>
  <c r="O1482" i="5" s="1"/>
  <c r="N1484" i="5"/>
  <c r="O1484" i="5" s="1"/>
  <c r="O1527" i="5"/>
  <c r="O1579" i="5" s="1"/>
  <c r="N309" i="5"/>
  <c r="N1175" i="5"/>
  <c r="O1175" i="5" s="1"/>
  <c r="N1178" i="5"/>
  <c r="O1178" i="5" s="1"/>
  <c r="N312" i="5"/>
  <c r="N366" i="5"/>
  <c r="N1108" i="5"/>
  <c r="O1108" i="5" s="1"/>
  <c r="N1109" i="5"/>
  <c r="O1109" i="5" s="1"/>
  <c r="N1110" i="5"/>
  <c r="O1110" i="5" s="1"/>
  <c r="N1111" i="5"/>
  <c r="O1111" i="5" s="1"/>
  <c r="N1112" i="5"/>
  <c r="O1112" i="5" s="1"/>
  <c r="N1113" i="5"/>
  <c r="O1113" i="5" s="1"/>
  <c r="N1114" i="5"/>
  <c r="O1114" i="5" s="1"/>
  <c r="N1117" i="5"/>
  <c r="O1117" i="5" s="1"/>
  <c r="N1118" i="5"/>
  <c r="O1118" i="5" s="1"/>
  <c r="N786" i="5"/>
  <c r="O786" i="5" s="1"/>
  <c r="O220" i="5"/>
  <c r="O240" i="5" s="1"/>
  <c r="N246" i="5"/>
  <c r="O306" i="5"/>
  <c r="O309" i="5" s="1"/>
  <c r="N574" i="5"/>
  <c r="O574" i="5" s="1"/>
  <c r="N594" i="5"/>
  <c r="O594" i="5" s="1"/>
  <c r="N1115" i="5"/>
  <c r="O1115" i="5" s="1"/>
  <c r="N1116" i="5"/>
  <c r="O1116" i="5" s="1"/>
  <c r="N1624" i="5"/>
  <c r="O1624" i="5" s="1"/>
  <c r="B351" i="5"/>
  <c r="B350" i="5"/>
  <c r="B352" i="5"/>
  <c r="N1636" i="5"/>
  <c r="O1628" i="5"/>
  <c r="O1636" i="5" s="1"/>
  <c r="O1621" i="5"/>
  <c r="N1163" i="5"/>
  <c r="N1167" i="5" s="1"/>
  <c r="O1163" i="5"/>
  <c r="O1167" i="5" s="1"/>
  <c r="N1145" i="5"/>
  <c r="O1145" i="5"/>
  <c r="N1138" i="5"/>
  <c r="N1166" i="5" s="1"/>
  <c r="O1124" i="5"/>
  <c r="O1138" i="5" s="1"/>
  <c r="O1166" i="5" s="1"/>
  <c r="N1459" i="5"/>
  <c r="O1459" i="5" s="1"/>
  <c r="O1030" i="5"/>
  <c r="O1039" i="5" s="1"/>
  <c r="N967" i="5"/>
  <c r="O967" i="5" s="1"/>
  <c r="O1002" i="5"/>
  <c r="O1038" i="5" s="1"/>
  <c r="O994" i="5"/>
  <c r="N1208" i="5"/>
  <c r="N1212" i="5" s="1"/>
  <c r="O1201" i="5"/>
  <c r="O1208" i="5" s="1"/>
  <c r="O1212" i="5" s="1"/>
  <c r="N1197" i="5"/>
  <c r="N1211" i="5" s="1"/>
  <c r="O1197" i="5"/>
  <c r="O1211" i="5" s="1"/>
  <c r="N1190" i="5"/>
  <c r="O1190" i="5"/>
  <c r="O898" i="5"/>
  <c r="O899" i="5" s="1"/>
  <c r="N894" i="5"/>
  <c r="O894" i="5"/>
  <c r="N887" i="5"/>
  <c r="O887" i="5"/>
  <c r="N623" i="5"/>
  <c r="O621" i="5"/>
  <c r="O623" i="5" s="1"/>
  <c r="N573" i="5"/>
  <c r="O573" i="5"/>
  <c r="O538" i="5"/>
  <c r="O552" i="5" s="1"/>
  <c r="N303" i="5"/>
  <c r="O300" i="5"/>
  <c r="O303" i="5" s="1"/>
  <c r="N287" i="5"/>
  <c r="O287" i="5"/>
  <c r="N281" i="5"/>
  <c r="O281" i="5"/>
  <c r="N297" i="5"/>
  <c r="O290" i="5"/>
  <c r="O297" i="5" s="1"/>
  <c r="O366" i="5"/>
  <c r="O365" i="5"/>
  <c r="N275" i="5"/>
  <c r="O272" i="5"/>
  <c r="O275" i="5" s="1"/>
  <c r="N269" i="5"/>
  <c r="O249" i="5"/>
  <c r="O269" i="5" s="1"/>
  <c r="N217" i="5"/>
  <c r="O209" i="5"/>
  <c r="O217" i="5" s="1"/>
  <c r="O45" i="5"/>
  <c r="O48" i="5" s="1"/>
  <c r="N84" i="5"/>
  <c r="O81" i="5"/>
  <c r="O84" i="5" s="1"/>
  <c r="N78" i="5"/>
  <c r="O78" i="5"/>
  <c r="N12" i="5"/>
  <c r="O9" i="5"/>
  <c r="O12" i="5" s="1"/>
  <c r="K6" i="8"/>
  <c r="O246" i="5"/>
  <c r="N335" i="5"/>
  <c r="O335" i="5" s="1"/>
  <c r="K3" i="8"/>
  <c r="N525" i="5"/>
  <c r="N528" i="5" s="1"/>
  <c r="N994" i="5"/>
  <c r="N1002" i="5"/>
  <c r="N1038" i="5" s="1"/>
  <c r="N1030" i="5"/>
  <c r="B1034" i="5"/>
  <c r="N1107" i="5"/>
  <c r="O1107" i="5" s="1"/>
  <c r="O774" i="5"/>
  <c r="O777" i="5" s="1"/>
  <c r="N777" i="5"/>
  <c r="N1483" i="5"/>
  <c r="O1483" i="5" s="1"/>
  <c r="B1486" i="5"/>
  <c r="N15" i="5"/>
  <c r="N51" i="5"/>
  <c r="B339" i="5"/>
  <c r="B358" i="5"/>
  <c r="B359" i="5"/>
  <c r="B360" i="5"/>
  <c r="N514" i="5"/>
  <c r="O514" i="5" s="1"/>
  <c r="O519" i="5" s="1"/>
  <c r="O1273" i="5"/>
  <c r="O1276" i="5" s="1"/>
  <c r="O1277" i="5" s="1"/>
  <c r="N1273" i="5"/>
  <c r="B1120" i="5"/>
  <c r="B1121" i="5" s="1"/>
  <c r="N1106" i="5"/>
  <c r="N1173" i="5"/>
  <c r="O1173" i="5" s="1"/>
  <c r="N1174" i="5"/>
  <c r="O1174" i="5" s="1"/>
  <c r="N1176" i="5"/>
  <c r="O1176" i="5" s="1"/>
  <c r="N1177" i="5"/>
  <c r="O1177" i="5" s="1"/>
  <c r="O1402" i="5"/>
  <c r="N1402" i="5"/>
  <c r="N1172" i="5"/>
  <c r="O1448" i="5"/>
  <c r="N1448" i="5"/>
  <c r="O1458" i="5"/>
  <c r="N1458" i="5"/>
  <c r="N1524" i="5"/>
  <c r="O1524" i="5" s="1"/>
  <c r="B1655" i="5"/>
  <c r="N1648" i="5"/>
  <c r="O1648" i="5" s="1"/>
  <c r="O312" i="5" l="1"/>
  <c r="O332" i="5" s="1"/>
  <c r="N332" i="5"/>
  <c r="N1296" i="5"/>
  <c r="N1297" i="5" s="1"/>
  <c r="N1276" i="5"/>
  <c r="N1277" i="5" s="1"/>
  <c r="B1369" i="5"/>
  <c r="N1414" i="5"/>
  <c r="B1372" i="5"/>
  <c r="O1414" i="5"/>
  <c r="O1390" i="5"/>
  <c r="O1411" i="5"/>
  <c r="O1393" i="5"/>
  <c r="O1366" i="5"/>
  <c r="O1387" i="5"/>
  <c r="O1374" i="5"/>
  <c r="O1395" i="5"/>
  <c r="O1396" i="5"/>
  <c r="O1367" i="5"/>
  <c r="N1367" i="5"/>
  <c r="B1419" i="5"/>
  <c r="B367" i="5"/>
  <c r="B373" i="5" s="1"/>
  <c r="N339" i="5"/>
  <c r="O339" i="5" s="1"/>
  <c r="N995" i="5"/>
  <c r="O995" i="5" s="1"/>
  <c r="B1035" i="5"/>
  <c r="N1035" i="5" s="1"/>
  <c r="O1035" i="5" s="1"/>
  <c r="N961" i="5"/>
  <c r="O961" i="5" s="1"/>
  <c r="N958" i="5"/>
  <c r="N1168" i="5"/>
  <c r="O1213" i="5"/>
  <c r="E9" i="9"/>
  <c r="M6" i="8"/>
  <c r="D5" i="11"/>
  <c r="B5" i="11"/>
  <c r="C5" i="11"/>
  <c r="E5" i="11"/>
  <c r="E4" i="11"/>
  <c r="C4" i="11"/>
  <c r="C3" i="11"/>
  <c r="D3" i="11"/>
  <c r="B3" i="11"/>
  <c r="B4" i="11"/>
  <c r="E3" i="11"/>
  <c r="B6" i="8"/>
  <c r="N344" i="5"/>
  <c r="F6" i="11"/>
  <c r="N343" i="5"/>
  <c r="N902" i="5"/>
  <c r="O902" i="5" s="1"/>
  <c r="N1396" i="5"/>
  <c r="N370" i="5"/>
  <c r="N359" i="5"/>
  <c r="O359" i="5" s="1"/>
  <c r="O1433" i="5"/>
  <c r="N360" i="5"/>
  <c r="O360" i="5" s="1"/>
  <c r="N352" i="5"/>
  <c r="B353" i="5"/>
  <c r="N351" i="5"/>
  <c r="N367" i="5"/>
  <c r="B361" i="5"/>
  <c r="B1667" i="5" s="1"/>
  <c r="B1040" i="5"/>
  <c r="B787" i="5"/>
  <c r="N1274" i="5"/>
  <c r="O1274" i="5" s="1"/>
  <c r="N903" i="5"/>
  <c r="N1449" i="5"/>
  <c r="O1449" i="5" s="1"/>
  <c r="B1213" i="5"/>
  <c r="B904" i="5"/>
  <c r="B1168" i="5"/>
  <c r="B347" i="5"/>
  <c r="B1297" i="5"/>
  <c r="N785" i="5"/>
  <c r="O785" i="5" s="1"/>
  <c r="O787" i="5" s="1"/>
  <c r="B1654" i="5"/>
  <c r="N1191" i="5"/>
  <c r="O1191" i="5" s="1"/>
  <c r="N1664" i="5"/>
  <c r="O1664" i="5" s="1"/>
  <c r="N1381" i="5"/>
  <c r="N553" i="5"/>
  <c r="O553" i="5" s="1"/>
  <c r="N1213" i="5"/>
  <c r="O1296" i="5"/>
  <c r="O1297" i="5" s="1"/>
  <c r="J6" i="8"/>
  <c r="N1625" i="5"/>
  <c r="N532" i="5"/>
  <c r="O532" i="5" s="1"/>
  <c r="N1653" i="5"/>
  <c r="O1653" i="5" s="1"/>
  <c r="O1625" i="5"/>
  <c r="O599" i="5"/>
  <c r="O1485" i="5"/>
  <c r="O1489" i="5" s="1"/>
  <c r="N778" i="5"/>
  <c r="O778" i="5" s="1"/>
  <c r="N1651" i="5"/>
  <c r="O1651" i="5" s="1"/>
  <c r="N372" i="5"/>
  <c r="O372" i="5" s="1"/>
  <c r="N350" i="5"/>
  <c r="N599" i="5"/>
  <c r="N1121" i="5"/>
  <c r="O1121" i="5" s="1"/>
  <c r="N1209" i="5"/>
  <c r="O1209" i="5" s="1"/>
  <c r="N1198" i="5"/>
  <c r="O1198" i="5" s="1"/>
  <c r="N1164" i="5"/>
  <c r="O1164" i="5" s="1"/>
  <c r="O1168" i="5"/>
  <c r="N1139" i="5"/>
  <c r="O1139" i="5" s="1"/>
  <c r="N1485" i="5"/>
  <c r="N1489" i="5" s="1"/>
  <c r="O1034" i="5"/>
  <c r="O1040" i="5"/>
  <c r="O1055" i="5" s="1"/>
  <c r="N342" i="5"/>
  <c r="N1656" i="5"/>
  <c r="O1656" i="5" s="1"/>
  <c r="N1650" i="5"/>
  <c r="O1650" i="5" s="1"/>
  <c r="N1120" i="5"/>
  <c r="O1106" i="5"/>
  <c r="O1120" i="5" s="1"/>
  <c r="N1031" i="5"/>
  <c r="O1031" i="5" s="1"/>
  <c r="N54" i="5"/>
  <c r="O51" i="5"/>
  <c r="O54" i="5" s="1"/>
  <c r="L6" i="8"/>
  <c r="N18" i="5"/>
  <c r="O15" i="5"/>
  <c r="O18" i="5" s="1"/>
  <c r="B1490" i="5"/>
  <c r="B1489" i="5"/>
  <c r="N1486" i="5"/>
  <c r="O1486" i="5" s="1"/>
  <c r="N1039" i="5"/>
  <c r="N1040" i="5" s="1"/>
  <c r="N1055" i="5" s="1"/>
  <c r="N1034" i="5"/>
  <c r="O525" i="5"/>
  <c r="O528" i="5" s="1"/>
  <c r="N1655" i="5"/>
  <c r="O1655" i="5" s="1"/>
  <c r="N1179" i="5"/>
  <c r="O1172" i="5"/>
  <c r="O1179" i="5" s="1"/>
  <c r="N1003" i="5"/>
  <c r="O1003" i="5" s="1"/>
  <c r="N895" i="5"/>
  <c r="O895" i="5" s="1"/>
  <c r="B1671" i="5"/>
  <c r="N358" i="5"/>
  <c r="N338" i="5"/>
  <c r="I6" i="8"/>
  <c r="N519" i="5"/>
  <c r="N1374" i="5" l="1"/>
  <c r="N1366" i="5"/>
  <c r="O1375" i="5"/>
  <c r="N1375" i="5"/>
  <c r="O1372" i="5"/>
  <c r="N1372" i="5"/>
  <c r="O958" i="5"/>
  <c r="B1036" i="5"/>
  <c r="N962" i="5"/>
  <c r="O962" i="5" s="1"/>
  <c r="N347" i="5"/>
  <c r="O347" i="5" s="1"/>
  <c r="O350" i="5"/>
  <c r="O352" i="5"/>
  <c r="O351" i="5"/>
  <c r="O343" i="5"/>
  <c r="O344" i="5"/>
  <c r="E6" i="11"/>
  <c r="B355" i="5"/>
  <c r="N355" i="5" s="1"/>
  <c r="O355" i="5" s="1"/>
  <c r="B6" i="11"/>
  <c r="C6" i="11"/>
  <c r="B1398" i="5"/>
  <c r="B1422" i="5"/>
  <c r="N1395" i="5"/>
  <c r="N1393" i="5"/>
  <c r="N1387" i="5"/>
  <c r="N904" i="5"/>
  <c r="N1427" i="5"/>
  <c r="N1433" i="5" s="1"/>
  <c r="N1390" i="5"/>
  <c r="O342" i="5"/>
  <c r="N345" i="5"/>
  <c r="O358" i="5"/>
  <c r="N361" i="5"/>
  <c r="O361" i="5" s="1"/>
  <c r="O903" i="5"/>
  <c r="O904" i="5" s="1"/>
  <c r="O1427" i="5"/>
  <c r="N787" i="5"/>
  <c r="N1654" i="5"/>
  <c r="O1654" i="5" s="1"/>
  <c r="N353" i="5"/>
  <c r="O370" i="5"/>
  <c r="N1667" i="5"/>
  <c r="O1667" i="5" s="1"/>
  <c r="N371" i="5"/>
  <c r="O371" i="5" s="1"/>
  <c r="N1673" i="5"/>
  <c r="O1673" i="5" s="1"/>
  <c r="O338" i="5"/>
  <c r="O364" i="5"/>
  <c r="O367" i="5"/>
  <c r="B1665" i="5"/>
  <c r="N1671" i="5"/>
  <c r="O1671" i="5" s="1"/>
  <c r="B1674" i="5"/>
  <c r="N1674" i="5" s="1"/>
  <c r="O1674" i="5" s="1"/>
  <c r="N1490" i="5"/>
  <c r="O1490" i="5" s="1"/>
  <c r="B1421" i="5" l="1"/>
  <c r="B1423" i="5" s="1"/>
  <c r="N963" i="5"/>
  <c r="O963" i="5" s="1"/>
  <c r="O966" i="5" s="1"/>
  <c r="N1036" i="5"/>
  <c r="O1036" i="5" s="1"/>
  <c r="N1419" i="5"/>
  <c r="O345" i="5"/>
  <c r="O353" i="5"/>
  <c r="N1422" i="5"/>
  <c r="O1422" i="5"/>
  <c r="O1419" i="5"/>
  <c r="N1665" i="5"/>
  <c r="O1665" i="5" s="1"/>
  <c r="N1666" i="5"/>
  <c r="O1666" i="5" s="1"/>
  <c r="B1668" i="5"/>
  <c r="N1287" i="5" s="1"/>
  <c r="O1287" i="5" s="1"/>
  <c r="N373" i="5"/>
  <c r="O373" i="5" s="1"/>
  <c r="N966" i="5" l="1"/>
  <c r="N1668" i="5"/>
  <c r="O1668" i="5" s="1"/>
  <c r="N1669" i="5"/>
  <c r="O1669" i="5" s="1"/>
  <c r="O564" i="5"/>
  <c r="B535" i="5" l="1"/>
  <c r="B1672" i="5" s="1"/>
  <c r="N565" i="5"/>
  <c r="O565" i="5" s="1"/>
  <c r="N564" i="5"/>
  <c r="N535" i="5" l="1"/>
  <c r="O535" i="5" s="1"/>
  <c r="N1672" i="5"/>
  <c r="O1672" i="5" s="1"/>
  <c r="N534" i="5"/>
  <c r="O534" i="5"/>
  <c r="O1369" i="5" l="1"/>
  <c r="N1369" i="5"/>
  <c r="B1071" i="5" l="1"/>
  <c r="N1071" i="5" s="1"/>
  <c r="O1071" i="5" s="1"/>
  <c r="N1054" i="5"/>
  <c r="O1054" i="5" s="1"/>
  <c r="B1055" i="5" l="1"/>
  <c r="B1056" i="5" s="1"/>
  <c r="N1056" i="5" l="1"/>
  <c r="N1070" i="5" s="1"/>
  <c r="O1056" i="5" l="1"/>
  <c r="O1070" i="5" s="1"/>
  <c r="B1377" i="5"/>
  <c r="N1076" i="5"/>
  <c r="N1077" i="5" s="1"/>
  <c r="N1078" i="5"/>
  <c r="O1078" i="5" s="1"/>
  <c r="L1100" i="5" l="1"/>
  <c r="L1394" i="5" s="1"/>
  <c r="L1373" i="5" s="1"/>
  <c r="O1394" i="5"/>
  <c r="N1092" i="5"/>
  <c r="L1102" i="5"/>
  <c r="O1076" i="5"/>
  <c r="O1077" i="5" s="1"/>
  <c r="O1092" i="5" s="1"/>
  <c r="N1100" i="5"/>
  <c r="L1398" i="5" l="1"/>
  <c r="N1394" i="5"/>
  <c r="N1398" i="5" s="1"/>
  <c r="N1102" i="5"/>
  <c r="O1100" i="5"/>
  <c r="O1102" i="5" s="1"/>
  <c r="O1398" i="5"/>
  <c r="L1421" i="5"/>
  <c r="L1377" i="5"/>
  <c r="N1373" i="5"/>
  <c r="N1377" i="5" s="1"/>
  <c r="O1373" i="5"/>
  <c r="O1377" i="5" s="1"/>
  <c r="N1421" i="5" l="1"/>
  <c r="L1423" i="5"/>
  <c r="O1421" i="5"/>
  <c r="O1423" i="5" l="1"/>
  <c r="N1423" i="5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Rodrigo da Silva Moraes</author>
    <author>Rodrigo Moraes</author>
    <author>Jefferson Barbosa Junior</author>
  </authors>
  <commentList>
    <comment ref="I205" authorId="0" shapeId="0" xr:uid="{95DF68D1-EE31-4CD9-ACA4-4EE8A847A746}">
      <text>
        <r>
          <rPr>
            <b/>
            <sz val="9"/>
            <color indexed="81"/>
            <rFont val="Segoe UI"/>
            <family val="2"/>
          </rPr>
          <t>Rodrigo da Silva Moraes:</t>
        </r>
        <r>
          <rPr>
            <sz val="9"/>
            <color indexed="81"/>
            <rFont val="Segoe UI"/>
            <family val="2"/>
          </rPr>
          <t xml:space="preserve">
1 RS - BENTO GONÇALVEZ
1 TO - ARAGUAINA</t>
        </r>
      </text>
    </comment>
    <comment ref="C408" authorId="1" shapeId="0" xr:uid="{18C42BCC-D03B-4F2F-ADCE-FFCA7755FCBF}">
      <text>
        <r>
          <rPr>
            <b/>
            <sz val="9"/>
            <color indexed="81"/>
            <rFont val="Segoe UI"/>
            <family val="2"/>
          </rPr>
          <t>Rodrigo Moraes:</t>
        </r>
        <r>
          <rPr>
            <sz val="9"/>
            <color indexed="81"/>
            <rFont val="Segoe UI"/>
            <family val="2"/>
          </rPr>
          <t xml:space="preserve">
1 - DERMATOLOGIA
</t>
        </r>
      </text>
    </comment>
    <comment ref="D408" authorId="1" shapeId="0" xr:uid="{3C6390CC-419E-49C3-92F3-518E4AA04384}">
      <text>
        <r>
          <rPr>
            <b/>
            <sz val="9"/>
            <color indexed="81"/>
            <rFont val="Segoe UI"/>
            <family val="2"/>
          </rPr>
          <t>Rodrigo Moraes:</t>
        </r>
        <r>
          <rPr>
            <sz val="9"/>
            <color indexed="81"/>
            <rFont val="Segoe UI"/>
            <family val="2"/>
          </rPr>
          <t xml:space="preserve">
1 - CIRURGIA VASCULAR</t>
        </r>
      </text>
    </comment>
    <comment ref="E408" authorId="1" shapeId="0" xr:uid="{E341B541-8DA3-4EB4-AEFE-2FE7C4112774}">
      <text>
        <r>
          <rPr>
            <b/>
            <sz val="9"/>
            <color indexed="81"/>
            <rFont val="Segoe UI"/>
            <family val="2"/>
          </rPr>
          <t>Rodrigo Moraes:</t>
        </r>
        <r>
          <rPr>
            <sz val="9"/>
            <color indexed="81"/>
            <rFont val="Segoe UI"/>
            <family val="2"/>
          </rPr>
          <t xml:space="preserve">
2 - DERMATO</t>
        </r>
      </text>
    </comment>
    <comment ref="F408" authorId="1" shapeId="0" xr:uid="{D363EAF6-22AD-4B32-A488-11E4B5BA71B6}">
      <text>
        <r>
          <rPr>
            <b/>
            <sz val="9"/>
            <color indexed="81"/>
            <rFont val="Segoe UI"/>
            <family val="2"/>
          </rPr>
          <t>Rodrigo Moraes:</t>
        </r>
        <r>
          <rPr>
            <sz val="9"/>
            <color indexed="81"/>
            <rFont val="Segoe UI"/>
            <family val="2"/>
          </rPr>
          <t xml:space="preserve">
1 - VASCULAR
1 - DERMATO</t>
        </r>
      </text>
    </comment>
    <comment ref="H408" authorId="0" shapeId="0" xr:uid="{FA3EC5BB-77C9-48A9-883D-9B7C0EA0D014}">
      <text>
        <r>
          <rPr>
            <b/>
            <sz val="9"/>
            <color indexed="81"/>
            <rFont val="Segoe UI"/>
            <family val="2"/>
          </rPr>
          <t>Rodrigo da Silva Moraes:</t>
        </r>
        <r>
          <rPr>
            <sz val="9"/>
            <color indexed="81"/>
            <rFont val="Segoe UI"/>
            <family val="2"/>
          </rPr>
          <t xml:space="preserve">
1 - DERMATO</t>
        </r>
      </text>
    </comment>
    <comment ref="L408" authorId="0" shapeId="0" xr:uid="{FA747E79-1F57-4A5E-B726-F5FB2C55DA1A}">
      <text>
        <r>
          <rPr>
            <b/>
            <sz val="9"/>
            <color indexed="81"/>
            <rFont val="Segoe UI"/>
            <family val="2"/>
          </rPr>
          <t>Rodrigo da Silva Moraes:</t>
        </r>
        <r>
          <rPr>
            <sz val="9"/>
            <color indexed="81"/>
            <rFont val="Segoe UI"/>
            <family val="2"/>
          </rPr>
          <t xml:space="preserve">
1 - DERMATO</t>
        </r>
      </text>
    </comment>
    <comment ref="M408" authorId="0" shapeId="0" xr:uid="{8D6D00C0-8455-46FD-8E46-B573985ADE31}">
      <text>
        <r>
          <rPr>
            <b/>
            <sz val="9"/>
            <color indexed="81"/>
            <rFont val="Segoe UI"/>
            <family val="2"/>
          </rPr>
          <t>Rodrigo da Silva Moraes:</t>
        </r>
        <r>
          <rPr>
            <sz val="9"/>
            <color indexed="81"/>
            <rFont val="Segoe UI"/>
            <family val="2"/>
          </rPr>
          <t xml:space="preserve">
1 - DERMATO</t>
        </r>
      </text>
    </comment>
    <comment ref="B425" authorId="1" shapeId="0" xr:uid="{1489EB42-0AE0-4E5E-B1D6-BBBE0FEFAA8F}">
      <text>
        <r>
          <rPr>
            <b/>
            <sz val="9"/>
            <color indexed="81"/>
            <rFont val="Segoe UI"/>
            <family val="2"/>
          </rPr>
          <t>Rodrigo Moraes:</t>
        </r>
        <r>
          <rPr>
            <sz val="9"/>
            <color indexed="81"/>
            <rFont val="Segoe UI"/>
            <family val="2"/>
          </rPr>
          <t xml:space="preserve">
</t>
        </r>
        <r>
          <rPr>
            <b/>
            <sz val="9"/>
            <color indexed="81"/>
            <rFont val="Segoe UI"/>
            <family val="2"/>
          </rPr>
          <t>Cirurgia Vascular</t>
        </r>
        <r>
          <rPr>
            <sz val="9"/>
            <color indexed="81"/>
            <rFont val="Segoe UI"/>
            <family val="2"/>
          </rPr>
          <t>: 00:35:00</t>
        </r>
      </text>
    </comment>
    <comment ref="C425" authorId="1" shapeId="0" xr:uid="{0912BBC6-E38C-44D9-9105-A5C2C3CA53CD}">
      <text>
        <r>
          <rPr>
            <b/>
            <sz val="9"/>
            <color indexed="81"/>
            <rFont val="Segoe UI"/>
            <family val="2"/>
          </rPr>
          <t>Rodrigo Moraes:</t>
        </r>
        <r>
          <rPr>
            <sz val="9"/>
            <color indexed="81"/>
            <rFont val="Segoe UI"/>
            <family val="2"/>
          </rPr>
          <t xml:space="preserve">
</t>
        </r>
        <r>
          <rPr>
            <b/>
            <sz val="9"/>
            <color indexed="81"/>
            <rFont val="Segoe UI"/>
            <family val="2"/>
          </rPr>
          <t>Cirurgia Vascular</t>
        </r>
        <r>
          <rPr>
            <sz val="9"/>
            <color indexed="81"/>
            <rFont val="Segoe UI"/>
            <family val="2"/>
          </rPr>
          <t>: 00:35:00</t>
        </r>
      </text>
    </comment>
    <comment ref="D425" authorId="1" shapeId="0" xr:uid="{3F0DBE53-D59B-4341-A8A3-882E15A43365}">
      <text>
        <r>
          <rPr>
            <b/>
            <sz val="9"/>
            <color indexed="81"/>
            <rFont val="Segoe UI"/>
            <family val="2"/>
          </rPr>
          <t>Rodrigo Moraes:</t>
        </r>
        <r>
          <rPr>
            <sz val="9"/>
            <color indexed="81"/>
            <rFont val="Segoe UI"/>
            <family val="2"/>
          </rPr>
          <t xml:space="preserve">
</t>
        </r>
        <r>
          <rPr>
            <b/>
            <sz val="9"/>
            <color indexed="81"/>
            <rFont val="Segoe UI"/>
            <family val="2"/>
          </rPr>
          <t>Angioplastia</t>
        </r>
        <r>
          <rPr>
            <sz val="9"/>
            <color indexed="81"/>
            <rFont val="Segoe UI"/>
            <family val="2"/>
          </rPr>
          <t>: 00:55:00</t>
        </r>
      </text>
    </comment>
    <comment ref="E425" authorId="1" shapeId="0" xr:uid="{8D997B62-939A-4379-A2FA-6CCC85F81F4B}">
      <text>
        <r>
          <rPr>
            <b/>
            <sz val="9"/>
            <color indexed="81"/>
            <rFont val="Segoe UI"/>
            <family val="2"/>
          </rPr>
          <t>Rodrigo Moraes:</t>
        </r>
        <r>
          <rPr>
            <sz val="9"/>
            <color indexed="81"/>
            <rFont val="Segoe UI"/>
            <family val="2"/>
          </rPr>
          <t xml:space="preserve">
</t>
        </r>
        <r>
          <rPr>
            <b/>
            <sz val="9"/>
            <color indexed="81"/>
            <rFont val="Segoe UI"/>
            <family val="2"/>
          </rPr>
          <t>DERMATO</t>
        </r>
        <r>
          <rPr>
            <sz val="9"/>
            <color indexed="81"/>
            <rFont val="Segoe UI"/>
            <family val="2"/>
          </rPr>
          <t xml:space="preserve"> - 00:50:00</t>
        </r>
      </text>
    </comment>
    <comment ref="F425" authorId="1" shapeId="0" xr:uid="{F92B9CB6-5A41-4B9A-B024-71DDE66AAA81}">
      <text>
        <r>
          <rPr>
            <b/>
            <sz val="9"/>
            <color indexed="81"/>
            <rFont val="Segoe UI"/>
            <family val="2"/>
          </rPr>
          <t>Rodrigo Moraes:</t>
        </r>
        <r>
          <rPr>
            <sz val="9"/>
            <color indexed="81"/>
            <rFont val="Segoe UI"/>
            <family val="2"/>
          </rPr>
          <t xml:space="preserve">
</t>
        </r>
        <r>
          <rPr>
            <b/>
            <sz val="9"/>
            <color indexed="81"/>
            <rFont val="Segoe UI"/>
            <family val="2"/>
          </rPr>
          <t>ANGIOPLASTIA:</t>
        </r>
        <r>
          <rPr>
            <sz val="9"/>
            <color indexed="81"/>
            <rFont val="Segoe UI"/>
            <family val="2"/>
          </rPr>
          <t xml:space="preserve"> 00:30:00
</t>
        </r>
        <r>
          <rPr>
            <b/>
            <sz val="9"/>
            <color indexed="81"/>
            <rFont val="Segoe UI"/>
            <family val="2"/>
          </rPr>
          <t>HEMATOLOGIA:</t>
        </r>
        <r>
          <rPr>
            <sz val="9"/>
            <color indexed="81"/>
            <rFont val="Segoe UI"/>
            <family val="2"/>
          </rPr>
          <t xml:space="preserve"> 00:25:00</t>
        </r>
      </text>
    </comment>
    <comment ref="G425" authorId="1" shapeId="0" xr:uid="{C8722860-74BB-4513-A55C-2EAE234107B1}">
      <text>
        <r>
          <rPr>
            <b/>
            <sz val="9"/>
            <color indexed="81"/>
            <rFont val="Segoe UI"/>
            <family val="2"/>
          </rPr>
          <t>Rodrigo Moraes:</t>
        </r>
        <r>
          <rPr>
            <sz val="9"/>
            <color indexed="81"/>
            <rFont val="Segoe UI"/>
            <family val="2"/>
          </rPr>
          <t xml:space="preserve">
</t>
        </r>
        <r>
          <rPr>
            <b/>
            <sz val="9"/>
            <color indexed="81"/>
            <rFont val="Segoe UI"/>
            <family val="2"/>
          </rPr>
          <t>ANGIOPLASTIA:</t>
        </r>
        <r>
          <rPr>
            <sz val="9"/>
            <color indexed="81"/>
            <rFont val="Segoe UI"/>
            <family val="2"/>
          </rPr>
          <t xml:space="preserve"> 02:20:00
</t>
        </r>
      </text>
    </comment>
    <comment ref="H425" authorId="0" shapeId="0" xr:uid="{AE6BE92D-3DF6-4EF7-94F8-074A66984323}">
      <text>
        <r>
          <rPr>
            <b/>
            <sz val="9"/>
            <color indexed="81"/>
            <rFont val="Segoe UI"/>
            <family val="2"/>
          </rPr>
          <t>Rodrigo da Silva Moraes:</t>
        </r>
        <r>
          <rPr>
            <sz val="9"/>
            <color indexed="81"/>
            <rFont val="Segoe UI"/>
            <family val="2"/>
          </rPr>
          <t xml:space="preserve">
HEMATO - 00:27:00
</t>
        </r>
      </text>
    </comment>
    <comment ref="J425" authorId="0" shapeId="0" xr:uid="{9ADED91C-1C95-4450-B041-3F6B94A9E5EF}">
      <text>
        <r>
          <rPr>
            <b/>
            <sz val="9"/>
            <color indexed="81"/>
            <rFont val="Segoe UI"/>
            <family val="2"/>
          </rPr>
          <t>Rodrigo da Silva Moraes:</t>
        </r>
        <r>
          <rPr>
            <sz val="9"/>
            <color indexed="81"/>
            <rFont val="Segoe UI"/>
            <family val="2"/>
          </rPr>
          <t xml:space="preserve">
</t>
        </r>
        <r>
          <rPr>
            <b/>
            <sz val="9"/>
            <color indexed="81"/>
            <rFont val="Segoe UI"/>
            <family val="2"/>
          </rPr>
          <t>ANGIOPLASTIA</t>
        </r>
        <r>
          <rPr>
            <sz val="9"/>
            <color indexed="81"/>
            <rFont val="Segoe UI"/>
            <family val="2"/>
          </rPr>
          <t xml:space="preserve"> - 00:35:00
</t>
        </r>
      </text>
    </comment>
    <comment ref="C443" authorId="1" shapeId="0" xr:uid="{481913CE-6E52-45CB-BBF7-4DF76731AF0C}">
      <text>
        <r>
          <rPr>
            <b/>
            <sz val="9"/>
            <color indexed="81"/>
            <rFont val="Segoe UI"/>
            <family val="2"/>
          </rPr>
          <t>Rodrigo Moraes:</t>
        </r>
        <r>
          <rPr>
            <sz val="9"/>
            <color indexed="81"/>
            <rFont val="Segoe UI"/>
            <family val="2"/>
          </rPr>
          <t xml:space="preserve">
1 - Toracostomia com Drenagem</t>
        </r>
      </text>
    </comment>
    <comment ref="D443" authorId="1" shapeId="0" xr:uid="{8E8F969A-AF7F-4206-8A95-1B235B26E85A}">
      <text>
        <r>
          <rPr>
            <b/>
            <sz val="9"/>
            <color indexed="81"/>
            <rFont val="Segoe UI"/>
            <family val="2"/>
          </rPr>
          <t>Rodrigo Moraes:</t>
        </r>
        <r>
          <rPr>
            <sz val="9"/>
            <color indexed="81"/>
            <rFont val="Segoe UI"/>
            <family val="2"/>
          </rPr>
          <t xml:space="preserve">
1 - Toracostomia C/ Drenagem Pleural Fechada</t>
        </r>
      </text>
    </comment>
    <comment ref="E443" authorId="1" shapeId="0" xr:uid="{5E1E6FB6-C810-4F4F-A95C-1C08A0AF5E4F}">
      <text>
        <r>
          <rPr>
            <b/>
            <sz val="9"/>
            <color indexed="81"/>
            <rFont val="Segoe UI"/>
            <family val="2"/>
          </rPr>
          <t>Rodrigo Moraes:</t>
        </r>
        <r>
          <rPr>
            <sz val="9"/>
            <color indexed="81"/>
            <rFont val="Segoe UI"/>
            <family val="2"/>
          </rPr>
          <t xml:space="preserve">
1 - APENDICECTOMIA
1 - HEMORROIDECTOMIA</t>
        </r>
      </text>
    </comment>
    <comment ref="F443" authorId="1" shapeId="0" xr:uid="{2450B77D-794A-403E-A98A-981CC87E2EE7}">
      <text>
        <r>
          <rPr>
            <b/>
            <sz val="9"/>
            <color indexed="81"/>
            <rFont val="Segoe UI"/>
            <family val="2"/>
          </rPr>
          <t>Rodrigo Moraes:</t>
        </r>
        <r>
          <rPr>
            <sz val="9"/>
            <color indexed="81"/>
            <rFont val="Segoe UI"/>
            <family val="2"/>
          </rPr>
          <t xml:space="preserve">
1 - APENDICECTOMIA
1 - HEMORROIDECTOMIA
1 - IMPLANTAÇÃO DE CATETER DE LONGA PERMANENCIA</t>
        </r>
      </text>
    </comment>
    <comment ref="G443" authorId="1" shapeId="0" xr:uid="{02F75D6B-B838-4246-B181-7251E0A76D84}">
      <text>
        <r>
          <rPr>
            <b/>
            <sz val="9"/>
            <color indexed="81"/>
            <rFont val="Segoe UI"/>
            <family val="2"/>
          </rPr>
          <t>Rodrigo Moraes:</t>
        </r>
        <r>
          <rPr>
            <sz val="9"/>
            <color indexed="81"/>
            <rFont val="Segoe UI"/>
            <family val="2"/>
          </rPr>
          <t xml:space="preserve">
1 - EXERESE DE TUMOR DE PELE
1 - RESSUTURA DE PAREDE ABDOMINAL</t>
        </r>
      </text>
    </comment>
    <comment ref="H443" authorId="0" shapeId="0" xr:uid="{DE1B81C8-87ED-4BF4-A1B6-6C29B0EE1323}">
      <text>
        <r>
          <rPr>
            <b/>
            <sz val="9"/>
            <color indexed="81"/>
            <rFont val="Segoe UI"/>
            <family val="2"/>
          </rPr>
          <t>Rodrigo da Silva Moraes:</t>
        </r>
        <r>
          <rPr>
            <sz val="9"/>
            <color indexed="81"/>
            <rFont val="Segoe UI"/>
            <family val="2"/>
          </rPr>
          <t xml:space="preserve">
1 - ENTEROPEXIA</t>
        </r>
      </text>
    </comment>
    <comment ref="I443" authorId="0" shapeId="0" xr:uid="{63100F86-8A76-412D-97AF-7EF79E560600}">
      <text>
        <r>
          <rPr>
            <b/>
            <sz val="9"/>
            <color indexed="81"/>
            <rFont val="Segoe UI"/>
            <family val="2"/>
          </rPr>
          <t>Rodrigo da Silva Moraes:</t>
        </r>
        <r>
          <rPr>
            <sz val="9"/>
            <color indexed="81"/>
            <rFont val="Segoe UI"/>
            <family val="2"/>
          </rPr>
          <t xml:space="preserve">
3 - HERNIOPLASTIA INGUINAL
1 - APENDICECTOMIA
1 - HEMORROIDECTOMIA</t>
        </r>
      </text>
    </comment>
    <comment ref="J443" authorId="0" shapeId="0" xr:uid="{B2D9B8CE-51AB-457A-84CE-85A1983206C3}">
      <text>
        <r>
          <rPr>
            <b/>
            <sz val="9"/>
            <color indexed="81"/>
            <rFont val="Arial"/>
            <family val="2"/>
          </rPr>
          <t>Rodrigo da Silva Moraes:</t>
        </r>
        <r>
          <rPr>
            <sz val="9"/>
            <color indexed="81"/>
            <rFont val="Arial"/>
            <family val="2"/>
          </rPr>
          <t xml:space="preserve">
1 - AMIGDALECTOMIA
1 - APENDICECTOMIA
2 - RESSUTURA DE PAREDE ABDOMINAL
</t>
        </r>
      </text>
    </comment>
    <comment ref="K443" authorId="0" shapeId="0" xr:uid="{6821F922-8313-4555-9699-3FB4A7145C21}">
      <text>
        <r>
          <rPr>
            <b/>
            <sz val="9"/>
            <color indexed="81"/>
            <rFont val="Segoe UI"/>
            <family val="2"/>
          </rPr>
          <t>Rodrigo da Silva Moraes:</t>
        </r>
        <r>
          <rPr>
            <sz val="9"/>
            <color indexed="81"/>
            <rFont val="Segoe UI"/>
            <family val="2"/>
          </rPr>
          <t xml:space="preserve">
1 - AMIGDALECTOMIA
1 - BIOPSIA DE PLEURA
1 - SEPTOPLASTIA + TURBINECTOMIA</t>
        </r>
      </text>
    </comment>
    <comment ref="L443" authorId="0" shapeId="0" xr:uid="{C2A65ABF-0861-42B5-A18C-D107BB93E1BC}">
      <text>
        <r>
          <rPr>
            <b/>
            <sz val="9"/>
            <color indexed="81"/>
            <rFont val="Segoe UI"/>
            <family val="2"/>
          </rPr>
          <t>Rodrigo da Silva Moraes:</t>
        </r>
        <r>
          <rPr>
            <sz val="9"/>
            <color indexed="81"/>
            <rFont val="Segoe UI"/>
            <family val="2"/>
          </rPr>
          <t xml:space="preserve">
1 - BIÓPSIA DE PELE E PARTES MOLES
2 - DEBRIDAMENTO DE ULCERA/DE TECIDOS DESVITALIZADOS
2 - DRENAGEM DE ABSCESSO
</t>
        </r>
      </text>
    </comment>
    <comment ref="M443" authorId="0" shapeId="0" xr:uid="{67EE3285-648F-42C7-859F-95E65BEDD96E}">
      <text>
        <r>
          <rPr>
            <b/>
            <sz val="9"/>
            <color indexed="81"/>
            <rFont val="Segoe UI"/>
            <family val="2"/>
          </rPr>
          <t>Rodrigo da Silva Moraes:</t>
        </r>
        <r>
          <rPr>
            <sz val="9"/>
            <color indexed="81"/>
            <rFont val="Segoe UI"/>
            <family val="2"/>
          </rPr>
          <t xml:space="preserve">
</t>
        </r>
        <r>
          <rPr>
            <sz val="7.5"/>
            <color indexed="81"/>
            <rFont val="Segoe UI"/>
            <family val="2"/>
          </rPr>
          <t>4 - APENDICECTOMIA
1 - RESSUTURA DE PAREDE ABDOMINAL
2 - TORACOSTOMIA COM DRENAGEM PLEURAL FECHADA
1 - URETEROSTOMIA CUTANEA
1 - TIREOIDECTOMIA TOTAL</t>
        </r>
      </text>
    </comment>
    <comment ref="F514" authorId="1" shapeId="0" xr:uid="{62FA3A23-4ECF-4B75-A037-A5B5C004B98C}">
      <text>
        <r>
          <rPr>
            <b/>
            <sz val="9"/>
            <color indexed="81"/>
            <rFont val="Segoe UI"/>
            <family val="2"/>
          </rPr>
          <t>Rodrigo Moraes:</t>
        </r>
        <r>
          <rPr>
            <sz val="9"/>
            <color indexed="81"/>
            <rFont val="Segoe UI"/>
            <family val="2"/>
          </rPr>
          <t xml:space="preserve">
AUTOCLAVE 01  - 71 
AUTOCLAVE 02 - 63</t>
        </r>
      </text>
    </comment>
    <comment ref="G514" authorId="1" shapeId="0" xr:uid="{EF27F621-F3AD-4731-A977-E94F6DED24EF}">
      <text>
        <r>
          <rPr>
            <b/>
            <sz val="9"/>
            <color indexed="81"/>
            <rFont val="Segoe UI"/>
            <family val="2"/>
          </rPr>
          <t>Rodrigo Moraes:</t>
        </r>
        <r>
          <rPr>
            <sz val="9"/>
            <color indexed="81"/>
            <rFont val="Segoe UI"/>
            <family val="2"/>
          </rPr>
          <t xml:space="preserve">
AUTOCLAVE 01  - 45 
AUTOCLAVE 02 - 109</t>
        </r>
      </text>
    </comment>
    <comment ref="H514" authorId="1" shapeId="0" xr:uid="{C0052DCE-4DCC-4E6A-A667-44F366020A68}">
      <text>
        <r>
          <rPr>
            <b/>
            <sz val="9"/>
            <color indexed="81"/>
            <rFont val="Segoe UI"/>
            <family val="2"/>
          </rPr>
          <t>Rodrigo Moraes:</t>
        </r>
        <r>
          <rPr>
            <sz val="9"/>
            <color indexed="81"/>
            <rFont val="Segoe UI"/>
            <family val="2"/>
          </rPr>
          <t xml:space="preserve">
AUTOCLAVE 01  - 56 
AUTOCLAVE 02 - 116</t>
        </r>
      </text>
    </comment>
    <comment ref="I514" authorId="1" shapeId="0" xr:uid="{2C95D80E-09AC-4AAD-960F-758DE4D1FEE1}">
      <text>
        <r>
          <rPr>
            <b/>
            <sz val="9"/>
            <color indexed="81"/>
            <rFont val="Segoe UI"/>
            <family val="2"/>
          </rPr>
          <t>Rodrigo Moraes:</t>
        </r>
        <r>
          <rPr>
            <sz val="9"/>
            <color indexed="81"/>
            <rFont val="Segoe UI"/>
            <family val="2"/>
          </rPr>
          <t xml:space="preserve">
AUTOCLAVE 01  - 86 
AUTOCLAVE 02 - 97</t>
        </r>
      </text>
    </comment>
    <comment ref="J514" authorId="0" shapeId="0" xr:uid="{885F70FD-5492-4082-97F6-D890FDA8FD98}">
      <text>
        <r>
          <rPr>
            <b/>
            <sz val="9"/>
            <color indexed="81"/>
            <rFont val="Segoe UI"/>
            <family val="2"/>
          </rPr>
          <t>Rodrigo da Silva Moraes:</t>
        </r>
        <r>
          <rPr>
            <sz val="9"/>
            <color indexed="81"/>
            <rFont val="Segoe UI"/>
            <family val="2"/>
          </rPr>
          <t xml:space="preserve">
AUTOCLAVE 01: 82
AUTOCLAVE 02: 87</t>
        </r>
      </text>
    </comment>
    <comment ref="K514" authorId="0" shapeId="0" xr:uid="{6B84AD5A-5C4E-4C46-9D76-FFC25E1D7E7A}">
      <text>
        <r>
          <rPr>
            <b/>
            <sz val="9"/>
            <color indexed="81"/>
            <rFont val="Segoe UI"/>
            <family val="2"/>
          </rPr>
          <t>Rodrigo da Silva Moraes:</t>
        </r>
        <r>
          <rPr>
            <sz val="9"/>
            <color indexed="81"/>
            <rFont val="Segoe UI"/>
            <family val="2"/>
          </rPr>
          <t xml:space="preserve">
AUTOCLAVE 01: 71
AUTOCLAVE 02: 96</t>
        </r>
      </text>
    </comment>
    <comment ref="L514" authorId="0" shapeId="0" xr:uid="{66E3EEB9-F5AB-484C-819E-FAE20A677F1C}">
      <text>
        <r>
          <rPr>
            <b/>
            <sz val="9"/>
            <color indexed="81"/>
            <rFont val="Segoe UI"/>
            <family val="2"/>
          </rPr>
          <t>Rodrigo da Silva Moraes:</t>
        </r>
        <r>
          <rPr>
            <sz val="9"/>
            <color indexed="81"/>
            <rFont val="Segoe UI"/>
            <family val="2"/>
          </rPr>
          <t xml:space="preserve">
AUTOCLAVE 01: 109
AUTOCLAVE 02: 43</t>
        </r>
      </text>
    </comment>
    <comment ref="B515" authorId="1" shapeId="0" xr:uid="{82DB1180-BB43-4B14-BFF4-88D1C59A496E}">
      <text>
        <r>
          <rPr>
            <b/>
            <sz val="9"/>
            <color indexed="81"/>
            <rFont val="Segoe UI"/>
            <family val="2"/>
          </rPr>
          <t>Rodrigo Moraes:</t>
        </r>
        <r>
          <rPr>
            <sz val="9"/>
            <color indexed="81"/>
            <rFont val="Segoe UI"/>
            <family val="2"/>
          </rPr>
          <t xml:space="preserve">
</t>
        </r>
        <r>
          <rPr>
            <b/>
            <sz val="9"/>
            <color indexed="81"/>
            <rFont val="Segoe UI"/>
            <family val="2"/>
          </rPr>
          <t>Processamentos da Autoclave 01</t>
        </r>
        <r>
          <rPr>
            <sz val="9"/>
            <color indexed="81"/>
            <rFont val="Segoe UI"/>
            <family val="2"/>
          </rPr>
          <t xml:space="preserve">: 68
</t>
        </r>
        <r>
          <rPr>
            <b/>
            <sz val="9"/>
            <color indexed="81"/>
            <rFont val="Segoe UI"/>
            <family val="2"/>
          </rPr>
          <t>Processamentos da Autoclave 02:</t>
        </r>
        <r>
          <rPr>
            <sz val="9"/>
            <color indexed="81"/>
            <rFont val="Segoe UI"/>
            <family val="2"/>
          </rPr>
          <t xml:space="preserve"> 91</t>
        </r>
      </text>
    </comment>
    <comment ref="B813" authorId="1" shapeId="0" xr:uid="{9E618001-FC67-4C2B-8EEF-F5464D14EA49}">
      <text>
        <r>
          <rPr>
            <b/>
            <sz val="9"/>
            <color indexed="81"/>
            <rFont val="Segoe UI"/>
            <family val="2"/>
          </rPr>
          <t>Rodrigo Moraes:</t>
        </r>
        <r>
          <rPr>
            <sz val="9"/>
            <color indexed="81"/>
            <rFont val="Segoe UI"/>
            <family val="2"/>
          </rPr>
          <t xml:space="preserve">
1 - Ligadura de varizes
1 - Colocação de Balao
1 - Colocação de Sonda</t>
        </r>
      </text>
    </comment>
    <comment ref="C813" authorId="1" shapeId="0" xr:uid="{2A3545FE-2C78-4DDF-9033-29C9134C0060}">
      <text>
        <r>
          <rPr>
            <b/>
            <sz val="9"/>
            <color indexed="81"/>
            <rFont val="Segoe UI"/>
            <family val="2"/>
          </rPr>
          <t>Rodrigo Moraes:</t>
        </r>
        <r>
          <rPr>
            <sz val="9"/>
            <color indexed="81"/>
            <rFont val="Segoe UI"/>
            <family val="2"/>
          </rPr>
          <t xml:space="preserve">
1 - Ligadura de varizes
1 - Colocação de Balao
1 - Colocação de Sonda</t>
        </r>
      </text>
    </comment>
    <comment ref="H813" authorId="0" shapeId="0" xr:uid="{48787469-BE32-4E73-936F-2A5E1E957618}">
      <text>
        <r>
          <rPr>
            <b/>
            <sz val="9"/>
            <color indexed="81"/>
            <rFont val="Segoe UI"/>
            <family val="2"/>
          </rPr>
          <t>Rodrigo da Silva Moraes:</t>
        </r>
        <r>
          <rPr>
            <sz val="9"/>
            <color indexed="81"/>
            <rFont val="Segoe UI"/>
            <family val="2"/>
          </rPr>
          <t xml:space="preserve">
3 - DILATAÇÃO</t>
        </r>
      </text>
    </comment>
    <comment ref="A882" authorId="2" shapeId="0" xr:uid="{00000000-0006-0000-0200-000031000000}">
      <text>
        <r>
          <rPr>
            <b/>
            <sz val="9"/>
            <color indexed="81"/>
            <rFont val="Segoe UI"/>
            <family val="2"/>
          </rPr>
          <t>Imunologia + Sorologia</t>
        </r>
        <r>
          <rPr>
            <sz val="9"/>
            <color indexed="81"/>
            <rFont val="Segoe UI"/>
            <family val="2"/>
          </rPr>
          <t xml:space="preserve">
</t>
        </r>
      </text>
    </comment>
    <comment ref="A885" authorId="0" shapeId="0" xr:uid="{00000000-0006-0000-0200-000032000000}">
      <text>
        <r>
          <rPr>
            <b/>
            <sz val="9"/>
            <color indexed="81"/>
            <rFont val="Segoe UI"/>
            <family val="2"/>
          </rPr>
          <t>Rodrigo da Silva Moraes:</t>
        </r>
        <r>
          <rPr>
            <sz val="9"/>
            <color indexed="81"/>
            <rFont val="Segoe UI"/>
            <family val="2"/>
          </rPr>
          <t xml:space="preserve">
Parasitologia + Fezes
</t>
        </r>
      </text>
    </comment>
    <comment ref="J993" authorId="0" shapeId="0" xr:uid="{8F8C16D5-5DAF-4A84-9159-A1D2FBAC979C}">
      <text>
        <r>
          <rPr>
            <b/>
            <sz val="9"/>
            <color indexed="81"/>
            <rFont val="Segoe UI"/>
            <family val="2"/>
          </rPr>
          <t>Rodrigo da Silva Moraes:</t>
        </r>
        <r>
          <rPr>
            <sz val="9"/>
            <color indexed="81"/>
            <rFont val="Segoe UI"/>
            <family val="2"/>
          </rPr>
          <t xml:space="preserve">
2 - ANTEBRAÇO</t>
        </r>
      </text>
    </comment>
    <comment ref="K993" authorId="0" shapeId="0" xr:uid="{58BF23F2-3243-497E-B1C5-BE73EDF5AD27}">
      <text>
        <r>
          <rPr>
            <b/>
            <sz val="9"/>
            <color indexed="81"/>
            <rFont val="Segoe UI"/>
            <family val="2"/>
          </rPr>
          <t>Rodrigo da Silva Moraes:</t>
        </r>
        <r>
          <rPr>
            <sz val="9"/>
            <color indexed="81"/>
            <rFont val="Segoe UI"/>
            <family val="2"/>
          </rPr>
          <t xml:space="preserve">
2 - RAIO X DE ARTICULAÇÃO COXO-FEMURAL</t>
        </r>
      </text>
    </comment>
    <comment ref="M993" authorId="0" shapeId="0" xr:uid="{3F2E5BC5-5163-44EE-B126-FB79E9C7BD4D}">
      <text>
        <r>
          <rPr>
            <b/>
            <sz val="9"/>
            <color indexed="81"/>
            <rFont val="Segoe UI"/>
            <family val="2"/>
          </rPr>
          <t>Rodrigo da Silva Moraes:</t>
        </r>
        <r>
          <rPr>
            <sz val="9"/>
            <color indexed="81"/>
            <rFont val="Segoe UI"/>
            <family val="2"/>
          </rPr>
          <t xml:space="preserve">
1 - RAIO X DE ARTICULAÇÃO COXO-FEMURAL</t>
        </r>
      </text>
    </comment>
    <comment ref="E1029" authorId="1" shapeId="0" xr:uid="{7E23224F-8F7E-4E73-880C-EC5CAFAF7770}">
      <text>
        <r>
          <rPr>
            <b/>
            <sz val="9"/>
            <color indexed="81"/>
            <rFont val="Segoe UI"/>
            <family val="2"/>
          </rPr>
          <t>Rodrigo Moraes:</t>
        </r>
        <r>
          <rPr>
            <sz val="9"/>
            <color indexed="81"/>
            <rFont val="Segoe UI"/>
            <family val="2"/>
          </rPr>
          <t xml:space="preserve">
2 - RADIOGRAFIA DE COXA</t>
        </r>
      </text>
    </comment>
    <comment ref="F1029" authorId="1" shapeId="0" xr:uid="{35676906-699F-444F-B80C-35A9AD910E03}">
      <text>
        <r>
          <rPr>
            <b/>
            <sz val="9"/>
            <color indexed="81"/>
            <rFont val="Segoe UI"/>
            <family val="2"/>
          </rPr>
          <t>Rodrigo Moraes:</t>
        </r>
        <r>
          <rPr>
            <sz val="9"/>
            <color indexed="81"/>
            <rFont val="Segoe UI"/>
            <family val="2"/>
          </rPr>
          <t xml:space="preserve">
1 - RAIO X DE ARTICULAÇÃO COXO-FEMORAL
1 - RAIO X DE COXA</t>
        </r>
      </text>
    </comment>
    <comment ref="G1029" authorId="1" shapeId="0" xr:uid="{730808A1-0D17-49B0-B6C6-03C5C955035F}">
      <text>
        <r>
          <rPr>
            <b/>
            <sz val="9"/>
            <color indexed="81"/>
            <rFont val="Segoe UI"/>
            <family val="2"/>
          </rPr>
          <t>Rodrigo Moraes:</t>
        </r>
        <r>
          <rPr>
            <sz val="9"/>
            <color indexed="81"/>
            <rFont val="Segoe UI"/>
            <family val="2"/>
          </rPr>
          <t xml:space="preserve">
3 - RAIO X DE ARTICULAÇÃO COXO-FEMORAL
1 - RAIO X DE COXA</t>
        </r>
      </text>
    </comment>
    <comment ref="H1029" authorId="0" shapeId="0" xr:uid="{BE5B6E54-F5BB-4569-9BA0-558883FA6A58}">
      <text>
        <r>
          <rPr>
            <b/>
            <sz val="9"/>
            <color indexed="81"/>
            <rFont val="Segoe UI"/>
            <family val="2"/>
          </rPr>
          <t>Rodrigo da Silva Moraes:</t>
        </r>
        <r>
          <rPr>
            <sz val="9"/>
            <color indexed="81"/>
            <rFont val="Segoe UI"/>
            <family val="2"/>
          </rPr>
          <t xml:space="preserve">
1 - RAIO X ANTEBRAÇO
1 - RAIO X DE COXA</t>
        </r>
      </text>
    </comment>
    <comment ref="I1029" authorId="0" shapeId="0" xr:uid="{7A69BA32-C76B-47DD-AE1B-518EC7A18306}">
      <text>
        <r>
          <rPr>
            <b/>
            <sz val="9"/>
            <color indexed="81"/>
            <rFont val="Segoe UI"/>
            <family val="2"/>
          </rPr>
          <t>Rodrigo da Silva Moraes:</t>
        </r>
        <r>
          <rPr>
            <sz val="9"/>
            <color indexed="81"/>
            <rFont val="Segoe UI"/>
            <family val="2"/>
          </rPr>
          <t xml:space="preserve">
3 - RAIO X DE ART. COXO-FEMORAL</t>
        </r>
      </text>
    </comment>
    <comment ref="J1029" authorId="0" shapeId="0" xr:uid="{C26CE8E4-E1EC-4485-8210-3FFD0CB5B7FE}">
      <text>
        <r>
          <rPr>
            <b/>
            <sz val="9"/>
            <color indexed="81"/>
            <rFont val="Segoe UI"/>
            <family val="2"/>
          </rPr>
          <t>Rodrigo da Silva Moraes:</t>
        </r>
        <r>
          <rPr>
            <sz val="9"/>
            <color indexed="81"/>
            <rFont val="Segoe UI"/>
            <family val="2"/>
          </rPr>
          <t xml:space="preserve">
1 - RAIO X DE REGIÃO SACRO-COCCIGEA</t>
        </r>
      </text>
    </comment>
    <comment ref="F1069" authorId="1" shapeId="0" xr:uid="{FC1A13C8-FACB-4277-A700-3800B6C4695B}">
      <text>
        <r>
          <rPr>
            <b/>
            <sz val="9"/>
            <color indexed="81"/>
            <rFont val="Segoe UI"/>
            <family val="2"/>
          </rPr>
          <t>Rodrigo Moraes:</t>
        </r>
        <r>
          <rPr>
            <sz val="9"/>
            <color indexed="81"/>
            <rFont val="Segoe UI"/>
            <family val="2"/>
          </rPr>
          <t xml:space="preserve">
1 - RNM DE TORAX</t>
        </r>
      </text>
    </comment>
    <comment ref="J1091" authorId="0" shapeId="0" xr:uid="{2E69BC60-268F-41C6-BD85-0FE61BA118D9}">
      <text>
        <r>
          <rPr>
            <b/>
            <sz val="9"/>
            <color indexed="81"/>
            <rFont val="Segoe UI"/>
            <family val="2"/>
          </rPr>
          <t>Rodrigo da Silva Moraes:</t>
        </r>
        <r>
          <rPr>
            <sz val="9"/>
            <color indexed="81"/>
            <rFont val="Segoe UI"/>
            <family val="2"/>
          </rPr>
          <t xml:space="preserve">
1 - RNM DE TÓRAX</t>
        </r>
      </text>
    </comment>
    <comment ref="C1162" authorId="1" shapeId="0" xr:uid="{89A85B4B-7176-4503-BCE8-1621404EF944}">
      <text>
        <r>
          <rPr>
            <b/>
            <sz val="9"/>
            <color indexed="81"/>
            <rFont val="Segoe UI"/>
            <family val="2"/>
          </rPr>
          <t>Rodrigo Moraes:</t>
        </r>
        <r>
          <rPr>
            <sz val="9"/>
            <color indexed="81"/>
            <rFont val="Segoe UI"/>
            <family val="2"/>
          </rPr>
          <t xml:space="preserve">
1 - TC DE SELA TURCICA</t>
        </r>
      </text>
    </comment>
    <comment ref="C1189" authorId="1" shapeId="0" xr:uid="{B502FAD8-516E-468D-AE59-CE597B610345}">
      <text>
        <r>
          <rPr>
            <b/>
            <sz val="9"/>
            <color indexed="81"/>
            <rFont val="Segoe UI"/>
            <family val="2"/>
          </rPr>
          <t>Rodrigo Moraes:</t>
        </r>
        <r>
          <rPr>
            <sz val="9"/>
            <color indexed="81"/>
            <rFont val="Segoe UI"/>
            <family val="2"/>
          </rPr>
          <t xml:space="preserve">
1 - USG MAMARIA</t>
        </r>
      </text>
    </comment>
    <comment ref="L1189" authorId="1" shapeId="0" xr:uid="{E06F12FB-22FD-442F-95B9-4CD55B0F7F5E}">
      <text>
        <r>
          <rPr>
            <b/>
            <sz val="9"/>
            <color indexed="81"/>
            <rFont val="Segoe UI"/>
            <family val="2"/>
          </rPr>
          <t>Rodrigo Moraes:</t>
        </r>
        <r>
          <rPr>
            <sz val="9"/>
            <color indexed="81"/>
            <rFont val="Segoe UI"/>
            <family val="2"/>
          </rPr>
          <t xml:space="preserve">
1 - USG MAMARIA</t>
        </r>
      </text>
    </comment>
    <comment ref="E1207" authorId="1" shapeId="0" xr:uid="{B72FB3C2-1642-4D7B-8286-A6166475404C}">
      <text>
        <r>
          <rPr>
            <b/>
            <sz val="9"/>
            <color indexed="81"/>
            <rFont val="Segoe UI"/>
            <family val="2"/>
          </rPr>
          <t>Rodrigo Moraes:</t>
        </r>
        <r>
          <rPr>
            <sz val="9"/>
            <color indexed="81"/>
            <rFont val="Segoe UI"/>
            <family val="2"/>
          </rPr>
          <t xml:space="preserve">
1 - USG MAMARIA</t>
        </r>
      </text>
    </comment>
    <comment ref="F1207" authorId="1" shapeId="0" xr:uid="{BD5D44FB-108D-4571-81D1-F82503D719FF}">
      <text>
        <r>
          <rPr>
            <b/>
            <sz val="9"/>
            <color indexed="81"/>
            <rFont val="Segoe UI"/>
            <family val="2"/>
          </rPr>
          <t>Rodrigo Moraes:</t>
        </r>
        <r>
          <rPr>
            <sz val="9"/>
            <color indexed="81"/>
            <rFont val="Segoe UI"/>
            <family val="2"/>
          </rPr>
          <t xml:space="preserve">
8 - USG MAMARIA</t>
        </r>
      </text>
    </comment>
    <comment ref="G1207" authorId="1" shapeId="0" xr:uid="{A1592379-F75A-49A2-9BB3-BA83634619E4}">
      <text>
        <r>
          <rPr>
            <b/>
            <sz val="9"/>
            <color indexed="81"/>
            <rFont val="Segoe UI"/>
            <family val="2"/>
          </rPr>
          <t>Rodrigo Moraes:</t>
        </r>
        <r>
          <rPr>
            <sz val="9"/>
            <color indexed="81"/>
            <rFont val="Segoe UI"/>
            <family val="2"/>
          </rPr>
          <t xml:space="preserve">
11 - USG MAMARIA</t>
        </r>
      </text>
    </comment>
    <comment ref="H1207" authorId="0" shapeId="0" xr:uid="{DBE41A81-FAAE-459E-8607-B08258C3A3A8}">
      <text>
        <r>
          <rPr>
            <b/>
            <sz val="9"/>
            <color indexed="81"/>
            <rFont val="Segoe UI"/>
            <family val="2"/>
          </rPr>
          <t>Rodrigo da Silva Moraes:</t>
        </r>
        <r>
          <rPr>
            <sz val="9"/>
            <color indexed="81"/>
            <rFont val="Segoe UI"/>
            <family val="2"/>
          </rPr>
          <t xml:space="preserve">
14 - USG MAMARIA
</t>
        </r>
      </text>
    </comment>
    <comment ref="I1207" authorId="0" shapeId="0" xr:uid="{AB9A4C72-88C3-4B02-B661-361CA129264C}">
      <text>
        <r>
          <rPr>
            <b/>
            <sz val="9"/>
            <color indexed="81"/>
            <rFont val="Segoe UI"/>
            <family val="2"/>
          </rPr>
          <t>Rodrigo da Silva Moraes:</t>
        </r>
        <r>
          <rPr>
            <sz val="9"/>
            <color indexed="81"/>
            <rFont val="Segoe UI"/>
            <family val="2"/>
          </rPr>
          <t xml:space="preserve">
18 - USG MAMARIA</t>
        </r>
      </text>
    </comment>
    <comment ref="B1333" authorId="1" shapeId="0" xr:uid="{C0B31502-CFFE-4903-B579-C132A89F6526}">
      <text>
        <r>
          <rPr>
            <b/>
            <sz val="9"/>
            <color indexed="81"/>
            <rFont val="Segoe UI"/>
            <family val="2"/>
          </rPr>
          <t>Rodrigo Moraes:</t>
        </r>
        <r>
          <rPr>
            <sz val="9"/>
            <color indexed="81"/>
            <rFont val="Segoe UI"/>
            <family val="2"/>
          </rPr>
          <t xml:space="preserve">
</t>
        </r>
        <r>
          <rPr>
            <b/>
            <sz val="9"/>
            <color indexed="81"/>
            <rFont val="Segoe UI"/>
            <family val="2"/>
          </rPr>
          <t>Pulsoterapia</t>
        </r>
        <r>
          <rPr>
            <sz val="9"/>
            <color indexed="81"/>
            <rFont val="Segoe UI"/>
            <family val="2"/>
          </rPr>
          <t xml:space="preserve"> I: 20
</t>
        </r>
        <r>
          <rPr>
            <b/>
            <sz val="9"/>
            <color indexed="81"/>
            <rFont val="Segoe UI"/>
            <family val="2"/>
          </rPr>
          <t>Pulsoterapia</t>
        </r>
        <r>
          <rPr>
            <sz val="9"/>
            <color indexed="81"/>
            <rFont val="Segoe UI"/>
            <family val="2"/>
          </rPr>
          <t xml:space="preserve"> II: 10</t>
        </r>
      </text>
    </comment>
    <comment ref="C1333" authorId="1" shapeId="0" xr:uid="{6991EDA0-66F9-4E2E-8AE4-4ECB598B021C}">
      <text>
        <r>
          <rPr>
            <b/>
            <sz val="9"/>
            <color indexed="81"/>
            <rFont val="Segoe UI"/>
            <family val="2"/>
          </rPr>
          <t>Rodrigo Moraes:</t>
        </r>
        <r>
          <rPr>
            <sz val="9"/>
            <color indexed="81"/>
            <rFont val="Segoe UI"/>
            <family val="2"/>
          </rPr>
          <t xml:space="preserve">
17 - PULSOTERAPIA I
12 - PULSOTERAPIA II</t>
        </r>
      </text>
    </comment>
    <comment ref="D1333" authorId="1" shapeId="0" xr:uid="{BBEA2D93-4BD2-4A30-8436-C9962FAFD056}">
      <text>
        <r>
          <rPr>
            <b/>
            <sz val="9"/>
            <color indexed="81"/>
            <rFont val="Segoe UI"/>
            <family val="2"/>
          </rPr>
          <t>Rodrigo Moraes:</t>
        </r>
        <r>
          <rPr>
            <sz val="9"/>
            <color indexed="81"/>
            <rFont val="Segoe UI"/>
            <family val="2"/>
          </rPr>
          <t xml:space="preserve">
19 - PULSOTERAPIA I
15 - PULSOTERAPIA II</t>
        </r>
      </text>
    </comment>
    <comment ref="E1333" authorId="1" shapeId="0" xr:uid="{1C6803D7-E1E3-4F57-8173-DE6E9594F889}">
      <text>
        <r>
          <rPr>
            <b/>
            <sz val="9"/>
            <color indexed="81"/>
            <rFont val="Segoe UI"/>
            <family val="2"/>
          </rPr>
          <t>Rodrigo Moraes:</t>
        </r>
        <r>
          <rPr>
            <sz val="9"/>
            <color indexed="81"/>
            <rFont val="Segoe UI"/>
            <family val="2"/>
          </rPr>
          <t xml:space="preserve">
18 - PULSOTERAPIA I
07 - PULSOTERAPIA II</t>
        </r>
      </text>
    </comment>
    <comment ref="F1333" authorId="1" shapeId="0" xr:uid="{37459742-92D2-4DA2-A45C-65E386485C7A}">
      <text>
        <r>
          <rPr>
            <b/>
            <sz val="9"/>
            <color indexed="81"/>
            <rFont val="Segoe UI"/>
            <family val="2"/>
          </rPr>
          <t>Rodrigo Moraes:</t>
        </r>
        <r>
          <rPr>
            <sz val="9"/>
            <color indexed="81"/>
            <rFont val="Segoe UI"/>
            <family val="2"/>
          </rPr>
          <t xml:space="preserve">
25 - PULSOTERAPIA I
12 - PULSOTERAPIA II</t>
        </r>
      </text>
    </comment>
    <comment ref="G1333" authorId="1" shapeId="0" xr:uid="{FDCA40D6-BA94-4F40-9A1F-43C6448114DC}">
      <text>
        <r>
          <rPr>
            <b/>
            <sz val="9"/>
            <color indexed="81"/>
            <rFont val="Segoe UI"/>
            <family val="2"/>
          </rPr>
          <t>Rodrigo Moraes:</t>
        </r>
        <r>
          <rPr>
            <sz val="9"/>
            <color indexed="81"/>
            <rFont val="Segoe UI"/>
            <family val="2"/>
          </rPr>
          <t xml:space="preserve">
14 - PULSOTERAPIA I
24 - PULSOTERAPIA II</t>
        </r>
      </text>
    </comment>
    <comment ref="H1333" authorId="0" shapeId="0" xr:uid="{36E43CBD-0002-4608-BC6C-269153A90DB6}">
      <text>
        <r>
          <rPr>
            <b/>
            <sz val="9"/>
            <color indexed="81"/>
            <rFont val="Segoe UI"/>
            <family val="2"/>
          </rPr>
          <t>Rodrigo da Silva Moraes:</t>
        </r>
        <r>
          <rPr>
            <sz val="9"/>
            <color indexed="81"/>
            <rFont val="Segoe UI"/>
            <family val="2"/>
          </rPr>
          <t xml:space="preserve">
PULSOTERAPIA I - 9
PULSOTERAPIA II - 14</t>
        </r>
      </text>
    </comment>
    <comment ref="I1333" authorId="0" shapeId="0" xr:uid="{BA134E98-82DC-415E-BBBD-379969013FC8}">
      <text>
        <r>
          <rPr>
            <b/>
            <sz val="9"/>
            <color indexed="81"/>
            <rFont val="Segoe UI"/>
            <family val="2"/>
          </rPr>
          <t>Rodrigo da Silva Moraes:</t>
        </r>
        <r>
          <rPr>
            <sz val="9"/>
            <color indexed="81"/>
            <rFont val="Segoe UI"/>
            <family val="2"/>
          </rPr>
          <t xml:space="preserve">
PULSOTERAPIA I - 15
PULSOTERAPIA II - 10</t>
        </r>
      </text>
    </comment>
    <comment ref="L1333" authorId="0" shapeId="0" xr:uid="{6B3AFBED-EDA9-4EAD-9CB4-5C8355475A0A}">
      <text>
        <r>
          <rPr>
            <b/>
            <sz val="9"/>
            <color indexed="81"/>
            <rFont val="Segoe UI"/>
            <family val="2"/>
          </rPr>
          <t>Rodrigo da Silva Moraes:</t>
        </r>
        <r>
          <rPr>
            <sz val="9"/>
            <color indexed="81"/>
            <rFont val="Segoe UI"/>
            <family val="2"/>
          </rPr>
          <t xml:space="preserve">
PULSOTERAPIA I - 14
PULSOTERAPIA II - 16</t>
        </r>
      </text>
    </comment>
    <comment ref="M1333" authorId="0" shapeId="0" xr:uid="{C38B4E90-5EA2-457A-83D0-C7FB274BE3D7}">
      <text>
        <r>
          <rPr>
            <b/>
            <sz val="9"/>
            <color indexed="81"/>
            <rFont val="Segoe UI"/>
            <family val="2"/>
          </rPr>
          <t>Rodrigo da Silva Moraes:</t>
        </r>
        <r>
          <rPr>
            <sz val="9"/>
            <color indexed="81"/>
            <rFont val="Segoe UI"/>
            <family val="2"/>
          </rPr>
          <t xml:space="preserve">
PULSOTERAPIA I - 
PULSOTERAPIA II -24 </t>
        </r>
      </text>
    </comment>
    <comment ref="F1578" authorId="1" shapeId="0" xr:uid="{B661A9C7-58CB-455D-86AF-CF58B3BF2FA2}">
      <text>
        <r>
          <rPr>
            <b/>
            <sz val="9"/>
            <color indexed="81"/>
            <rFont val="Segoe UI"/>
            <family val="2"/>
          </rPr>
          <t>Rodrigo Moraes:</t>
        </r>
        <r>
          <rPr>
            <sz val="9"/>
            <color indexed="81"/>
            <rFont val="Segoe UI"/>
            <family val="2"/>
          </rPr>
          <t xml:space="preserve">
1 - SESMT
1 - CENTRAL DE GASES MEDICINAIS</t>
        </r>
      </text>
    </comment>
  </commentList>
</comments>
</file>

<file path=xl/sharedStrings.xml><?xml version="1.0" encoding="utf-8"?>
<sst xmlns="http://schemas.openxmlformats.org/spreadsheetml/2006/main" count="2068" uniqueCount="887">
  <si>
    <t>Média Geral de Permanência</t>
  </si>
  <si>
    <t>Taxa de Infecção Hospitalar</t>
  </si>
  <si>
    <t>PLANO ESTATÍSTICO</t>
  </si>
  <si>
    <t>JAN</t>
  </si>
  <si>
    <t>FEV</t>
  </si>
  <si>
    <t>MAR</t>
  </si>
  <si>
    <t>ABR</t>
  </si>
  <si>
    <t>MAI</t>
  </si>
  <si>
    <t>JUN</t>
  </si>
  <si>
    <t>JUL</t>
  </si>
  <si>
    <t>AGO</t>
  </si>
  <si>
    <t>SET</t>
  </si>
  <si>
    <t>OUT</t>
  </si>
  <si>
    <t>NOV</t>
  </si>
  <si>
    <t>DEZ</t>
  </si>
  <si>
    <t>ACUM</t>
  </si>
  <si>
    <t>MÉDIA</t>
  </si>
  <si>
    <t>1.1. Nº de Leitos por Unidade</t>
  </si>
  <si>
    <t>Clínica Cirúrgica</t>
  </si>
  <si>
    <t>Clínica Médica</t>
  </si>
  <si>
    <t>UTI Adulto</t>
  </si>
  <si>
    <t>Total</t>
  </si>
  <si>
    <t>Outros</t>
  </si>
  <si>
    <t>1.2. Nº de Leitos-Dia por Unidade</t>
  </si>
  <si>
    <t>1.3. Nº de Pacientes-Dia por Especialidade</t>
  </si>
  <si>
    <t>Cirurgia Geral</t>
  </si>
  <si>
    <t>Cirurgia Bariátrica</t>
  </si>
  <si>
    <t>Cirurgia Plástica</t>
  </si>
  <si>
    <t>Coloproctologia</t>
  </si>
  <si>
    <t>Cardiologia</t>
  </si>
  <si>
    <t>Endoscopia</t>
  </si>
  <si>
    <t>Endocrinologia</t>
  </si>
  <si>
    <t>Medicina Intensiva</t>
  </si>
  <si>
    <t>Plantonista / Clínica Médica</t>
  </si>
  <si>
    <t>Pneumologia</t>
  </si>
  <si>
    <t>Reumatologia</t>
  </si>
  <si>
    <t>1.4. Nº de Pacientes-Dia por Unidade</t>
  </si>
  <si>
    <t>1.5. Média Diária de Pacientes por Unidade</t>
  </si>
  <si>
    <t>Unidade/ Mês</t>
  </si>
  <si>
    <t>Porcentagem Geral de Ocupação (PGO)</t>
  </si>
  <si>
    <t>Paciente – dia</t>
  </si>
  <si>
    <t>Clínica cirúrgica</t>
  </si>
  <si>
    <t>1.6. Internações por Especialidade</t>
  </si>
  <si>
    <t>UTI</t>
  </si>
  <si>
    <t>-</t>
  </si>
  <si>
    <t>1.7. Internações por Unidade</t>
  </si>
  <si>
    <t>Leito – dia</t>
  </si>
  <si>
    <t>Geral</t>
  </si>
  <si>
    <t>1.8. Internações por Município</t>
  </si>
  <si>
    <t>Abaetetuba</t>
  </si>
  <si>
    <t>Ananindeua</t>
  </si>
  <si>
    <t>Belém</t>
  </si>
  <si>
    <t>Benevides</t>
  </si>
  <si>
    <t>Bragança</t>
  </si>
  <si>
    <t>Castanhal</t>
  </si>
  <si>
    <t>Igarapé – Açu</t>
  </si>
  <si>
    <t>Mãe do Rio</t>
  </si>
  <si>
    <t>Marituba</t>
  </si>
  <si>
    <t>Paragominas</t>
  </si>
  <si>
    <t>Santa Isabel do Pará</t>
  </si>
  <si>
    <t>São Miguel do Guamá</t>
  </si>
  <si>
    <t>1.9 Internações por Faixa etária</t>
  </si>
  <si>
    <t>De 14 a 24 anos</t>
  </si>
  <si>
    <t>De 25 a 35 anos</t>
  </si>
  <si>
    <t>De 36 a 46 anos</t>
  </si>
  <si>
    <t>De 47 a 57 anos</t>
  </si>
  <si>
    <t>De 58 a 68 anos</t>
  </si>
  <si>
    <t>De 69 a 79 anos</t>
  </si>
  <si>
    <t>De 80 a 110 anos</t>
  </si>
  <si>
    <t>1.10. Altas Melhoradas Por Especialidade</t>
  </si>
  <si>
    <t xml:space="preserve">                                                           </t>
  </si>
  <si>
    <t>1.12. Óbitos por Especialidade</t>
  </si>
  <si>
    <t>1.13. Óbitos por Unidade</t>
  </si>
  <si>
    <t>1.16. Óbitos por Faixa Etária</t>
  </si>
  <si>
    <t>1.19. Pacientes Saídos p/ Especialidade</t>
  </si>
  <si>
    <t>1.20. Pacientes Saídos por Unidade</t>
  </si>
  <si>
    <t>1.21. Porcentagem de Ocupação por Unidade</t>
  </si>
  <si>
    <t>Porcentagem Geral de Ocupação</t>
  </si>
  <si>
    <t>1.22. Média de Permanência por Unidade</t>
  </si>
  <si>
    <t>1.23. Índice de Giro de Leitos p/ Unidade</t>
  </si>
  <si>
    <t>Índice Geral de Giro de Leitos</t>
  </si>
  <si>
    <t>1.24. Taxa de Mortalidade por Unidade</t>
  </si>
  <si>
    <t>Taxa de Mortalidade Global</t>
  </si>
  <si>
    <t>1.25. Taxa de Mortalidade por Tipo</t>
  </si>
  <si>
    <t>Institucional</t>
  </si>
  <si>
    <t>Não Institucional</t>
  </si>
  <si>
    <t>Operatória</t>
  </si>
  <si>
    <t>2. Serviços Assistenciais</t>
  </si>
  <si>
    <t>2.1. Centro Cirúrgico</t>
  </si>
  <si>
    <t>2.1.1. Cirurgias por Porte</t>
  </si>
  <si>
    <t>Cirurgias Pequenas</t>
  </si>
  <si>
    <t>Cirurgias Médias</t>
  </si>
  <si>
    <t>Cirurgias Grandes</t>
  </si>
  <si>
    <t>Número de Óbitos Operatórios</t>
  </si>
  <si>
    <t>Média Diária de Cirurgias</t>
  </si>
  <si>
    <t>Procedimentos</t>
  </si>
  <si>
    <t>Nº de Salas Cirúrgicas</t>
  </si>
  <si>
    <t>Média Diária de Cirurgias por Sala</t>
  </si>
  <si>
    <t>2.1.2. Cirurgias de Pacientes por Tipo</t>
  </si>
  <si>
    <t>Cirurgias Eletivas</t>
  </si>
  <si>
    <t>Cirurgia do Cólon</t>
  </si>
  <si>
    <t>Cirurgia Vascular</t>
  </si>
  <si>
    <t>Plástica Reparadora</t>
  </si>
  <si>
    <t>2.2. Anestesia</t>
  </si>
  <si>
    <t>2.2.1. Número de Anestesias por Tipo</t>
  </si>
  <si>
    <t>Analgesia</t>
  </si>
  <si>
    <t>Local</t>
  </si>
  <si>
    <t>Peridural</t>
  </si>
  <si>
    <t>Raquidiana</t>
  </si>
  <si>
    <t>Bloqueio</t>
  </si>
  <si>
    <t>Sedação</t>
  </si>
  <si>
    <t>Outras</t>
  </si>
  <si>
    <t>Média Diária</t>
  </si>
  <si>
    <t>2.2.2. Anestesias por Unidade</t>
  </si>
  <si>
    <t>Ambulatório</t>
  </si>
  <si>
    <t>Pacotes/Caixas preparados</t>
  </si>
  <si>
    <t>Processamentos da Autoclave</t>
  </si>
  <si>
    <t>Processamentos da Sterrad</t>
  </si>
  <si>
    <t>Processamentos Lavadora de Endoscópio</t>
  </si>
  <si>
    <t>Centro Cirúrgico</t>
  </si>
  <si>
    <t>Consultas Simples</t>
  </si>
  <si>
    <t>Média Diária de Consultas</t>
  </si>
  <si>
    <t>Assistência Social</t>
  </si>
  <si>
    <t>Anestesiologia</t>
  </si>
  <si>
    <t>Dermatologia</t>
  </si>
  <si>
    <t>Geriatria</t>
  </si>
  <si>
    <t>Nutrição</t>
  </si>
  <si>
    <t>Psicologia</t>
  </si>
  <si>
    <t>Curativos</t>
  </si>
  <si>
    <t>Visitas Sociais ao Leito</t>
  </si>
  <si>
    <t>Nº de Pesquisas de Usuários Internados</t>
  </si>
  <si>
    <t>Nº de Pesquisas Aplicadas Externo</t>
  </si>
  <si>
    <t>Outros (Missas, Cultos...)</t>
  </si>
  <si>
    <t>Atendimentos Diário Usuário</t>
  </si>
  <si>
    <t>Atendimentos de Óbitos</t>
  </si>
  <si>
    <t>Entrega de Tickets Refeição para Acompanhantes</t>
  </si>
  <si>
    <t>Atendimento nas Unidades</t>
  </si>
  <si>
    <t>Acompanhamentos de Óbitos</t>
  </si>
  <si>
    <t>Atendimento/Triagem Colaborador e Familiar</t>
  </si>
  <si>
    <t>Cursos Ministrados</t>
  </si>
  <si>
    <t>Nº de Participantes</t>
  </si>
  <si>
    <t>Carga Horária</t>
  </si>
  <si>
    <t>Treinamentos</t>
  </si>
  <si>
    <t>Cursos Externos</t>
  </si>
  <si>
    <t>Anatomia Patológica</t>
  </si>
  <si>
    <t>Bioquímica</t>
  </si>
  <si>
    <t>Gasometria</t>
  </si>
  <si>
    <t>Hematologia</t>
  </si>
  <si>
    <t>Hemostasia</t>
  </si>
  <si>
    <t>Hormônios</t>
  </si>
  <si>
    <t>Imunologia</t>
  </si>
  <si>
    <t>Parasitologia</t>
  </si>
  <si>
    <t>Urina</t>
  </si>
  <si>
    <t>Total Exames Internos</t>
  </si>
  <si>
    <t>Total Exames Externos</t>
  </si>
  <si>
    <t>Total Exames Realizados</t>
  </si>
  <si>
    <t>Nº Transfusões Realizadas</t>
  </si>
  <si>
    <t>Coluna Cervical</t>
  </si>
  <si>
    <t>Cotovelo</t>
  </si>
  <si>
    <t>Crânio</t>
  </si>
  <si>
    <t>Joelho</t>
  </si>
  <si>
    <t>Ombro</t>
  </si>
  <si>
    <t>Punho</t>
  </si>
  <si>
    <t>Quadril/Bacia</t>
  </si>
  <si>
    <t>Tórax</t>
  </si>
  <si>
    <t>Tornozelo/Pé</t>
  </si>
  <si>
    <t>Ambulatório de Referência</t>
  </si>
  <si>
    <t>Total de Sessões Pacientes Internos</t>
  </si>
  <si>
    <t>Total de Sessões Realizadas</t>
  </si>
  <si>
    <t>Abdômen Superior</t>
  </si>
  <si>
    <t>Face</t>
  </si>
  <si>
    <t>Quadril</t>
  </si>
  <si>
    <t>Tireóide</t>
  </si>
  <si>
    <t>Vias Urinárias/Renal</t>
  </si>
  <si>
    <t>Biopsia</t>
  </si>
  <si>
    <t>Dilatação de Esôfago</t>
  </si>
  <si>
    <t>Esclerose</t>
  </si>
  <si>
    <t>Retirada de Corpo Estranho</t>
  </si>
  <si>
    <t>Ligadura Hemorrágica</t>
  </si>
  <si>
    <t>TOTAL</t>
  </si>
  <si>
    <t>Laboratório</t>
  </si>
  <si>
    <t>Mamografia</t>
  </si>
  <si>
    <t>Raio-x</t>
  </si>
  <si>
    <t>Tomografia</t>
  </si>
  <si>
    <t>Ultrassonografia</t>
  </si>
  <si>
    <t>Eletrocardiograma</t>
  </si>
  <si>
    <t>Hemoterapia</t>
  </si>
  <si>
    <t>4. Serviços de Apoio</t>
  </si>
  <si>
    <t>4.1. Nutrição e Dietética</t>
  </si>
  <si>
    <t>4.1.1. Refeições Servidas por Tipo</t>
  </si>
  <si>
    <t>Desjejum</t>
  </si>
  <si>
    <t>Colação</t>
  </si>
  <si>
    <t>Almoço</t>
  </si>
  <si>
    <t>Lanche</t>
  </si>
  <si>
    <t>Jantar</t>
  </si>
  <si>
    <t>Ceia</t>
  </si>
  <si>
    <t>Dieta Enteral</t>
  </si>
  <si>
    <t>Suplementação V.O.</t>
  </si>
  <si>
    <t>Outros - U/E</t>
  </si>
  <si>
    <t>4.1.2. Refeições Servidas p/ Comensal</t>
  </si>
  <si>
    <t>Acompanhantes</t>
  </si>
  <si>
    <t>4.2. Processamento da Roupa</t>
  </si>
  <si>
    <t>4.2.1. Kg Roupas Lavada p/Unidade</t>
  </si>
  <si>
    <t>Centro Cirúrgico/Obstetrico</t>
  </si>
  <si>
    <t>CME</t>
  </si>
  <si>
    <t>Serviço de Higiene e Limpeza</t>
  </si>
  <si>
    <t>Retorno/Outros</t>
  </si>
  <si>
    <t>Kg Roupas lavadas</t>
  </si>
  <si>
    <t>Média Diária Kg Roupas Lavadas</t>
  </si>
  <si>
    <t>Abast. Gás(GLP) e Gases Medicinais</t>
  </si>
  <si>
    <t>Alvenaria</t>
  </si>
  <si>
    <t>Carpintaria</t>
  </si>
  <si>
    <t>Elétrica</t>
  </si>
  <si>
    <t>Eletrônica</t>
  </si>
  <si>
    <t>Hidráulica</t>
  </si>
  <si>
    <t>Marcenaria</t>
  </si>
  <si>
    <t>Mecânica</t>
  </si>
  <si>
    <t>Manutenção</t>
  </si>
  <si>
    <t>Pintura</t>
  </si>
  <si>
    <t>Refrigeração</t>
  </si>
  <si>
    <t>Telefonia</t>
  </si>
  <si>
    <t>Administração</t>
  </si>
  <si>
    <t>Agência Transfusional</t>
  </si>
  <si>
    <t>Almoxarifado</t>
  </si>
  <si>
    <t>Central de Regulação</t>
  </si>
  <si>
    <t>Compras</t>
  </si>
  <si>
    <t>CME - Central de Materiais Esterilizados</t>
  </si>
  <si>
    <t>Departamento de Pessoal</t>
  </si>
  <si>
    <t>Enfermagem</t>
  </si>
  <si>
    <t>Farmácia</t>
  </si>
  <si>
    <t>Financeiro</t>
  </si>
  <si>
    <t>Higienização</t>
  </si>
  <si>
    <t>Patrimônio</t>
  </si>
  <si>
    <t>Portaria</t>
  </si>
  <si>
    <t>Recepção</t>
  </si>
  <si>
    <t>SND - Serviço de Nutrição e Dietética</t>
  </si>
  <si>
    <t>Tecnologia da Informação</t>
  </si>
  <si>
    <t>S.A.U</t>
  </si>
  <si>
    <t>Faturamento</t>
  </si>
  <si>
    <t>Fisioterapia</t>
  </si>
  <si>
    <t>Recepção Central</t>
  </si>
  <si>
    <t>Diretoria</t>
  </si>
  <si>
    <t>Serviço Social</t>
  </si>
  <si>
    <t>5. Serviços Administrativos</t>
  </si>
  <si>
    <t>Enfermeiros</t>
  </si>
  <si>
    <t>Sub-Total 1</t>
  </si>
  <si>
    <t>Terceirizados</t>
  </si>
  <si>
    <t>Sub-Total 2</t>
  </si>
  <si>
    <t>Total Geral</t>
  </si>
  <si>
    <t>Pós-Graduação</t>
  </si>
  <si>
    <t>Superior</t>
  </si>
  <si>
    <t>Superior Incompleto</t>
  </si>
  <si>
    <t>Ensino Médio</t>
  </si>
  <si>
    <t>Ensino Médio Incompleto</t>
  </si>
  <si>
    <t>Ensino Fundamental</t>
  </si>
  <si>
    <t>Ensino Fundamental Incompleto</t>
  </si>
  <si>
    <t>Sem Instrução</t>
  </si>
  <si>
    <t>5.1.3. Corpo Clínico</t>
  </si>
  <si>
    <t>Médicos Pessoa Jurídica</t>
  </si>
  <si>
    <t>5.1.4. Índices do Depto. Pessoal</t>
  </si>
  <si>
    <t>Funcionários em Férias</t>
  </si>
  <si>
    <t>Funcionários de Licenças/Afastamentos</t>
  </si>
  <si>
    <t>Admissões</t>
  </si>
  <si>
    <t>Demissões</t>
  </si>
  <si>
    <t>Afastamentos</t>
  </si>
  <si>
    <t>Nº de Funcionários/mês</t>
  </si>
  <si>
    <t>Faltas em dias</t>
  </si>
  <si>
    <t>Índice de Absenteísmo</t>
  </si>
  <si>
    <t>Horas Extras</t>
  </si>
  <si>
    <t>Atrasos em Horas</t>
  </si>
  <si>
    <t>Índice de Funcionários por Leito</t>
  </si>
  <si>
    <t>Índice de Funcionários por Leito Ocupado</t>
  </si>
  <si>
    <t>Índice de Rotatividade</t>
  </si>
  <si>
    <t>% do Pessoal de Enfermagem</t>
  </si>
  <si>
    <t>% do Pessoal S.Apoio</t>
  </si>
  <si>
    <t>Total Pessoal de Serviços Terceirizados</t>
  </si>
  <si>
    <t>Outros não Empregados</t>
  </si>
  <si>
    <t>6. Resumo Geral de Informações</t>
  </si>
  <si>
    <t>Total de Pacientes-Dia</t>
  </si>
  <si>
    <t>Média Geral de Pacientes-Dia</t>
  </si>
  <si>
    <t>Taxa Mortalidade Global</t>
  </si>
  <si>
    <t>Taxa de Mortalidade Operatória</t>
  </si>
  <si>
    <t>Média Diária Geral de Cirurgias Internas</t>
  </si>
  <si>
    <t>Média Diária de Atendimento Ambulatorial Consultas</t>
  </si>
  <si>
    <t>Média Diária Refeições Servidas</t>
  </si>
  <si>
    <t>Média Diária de Kg Roupa Lavada</t>
  </si>
  <si>
    <t>Nº de Dias do Mês</t>
  </si>
  <si>
    <t>Mão</t>
  </si>
  <si>
    <t>Pescoço</t>
  </si>
  <si>
    <t>Rouparia</t>
  </si>
  <si>
    <t>Hemodiálise (Sessões)</t>
  </si>
  <si>
    <t>PAAF (Biópsia para tireóide)</t>
  </si>
  <si>
    <t>Ressonância Magnética</t>
  </si>
  <si>
    <t>Barcarena</t>
  </si>
  <si>
    <t>Cametá</t>
  </si>
  <si>
    <t>Moju</t>
  </si>
  <si>
    <t>MAPA</t>
  </si>
  <si>
    <t>Broncoscopia</t>
  </si>
  <si>
    <t>Capitão Poço</t>
  </si>
  <si>
    <t>Ecocardiograma</t>
  </si>
  <si>
    <t>Espirometria</t>
  </si>
  <si>
    <t>Holter de Glicemia</t>
  </si>
  <si>
    <t>Pulsoterapia</t>
  </si>
  <si>
    <t>Dom Eliseu</t>
  </si>
  <si>
    <t>Primavera</t>
  </si>
  <si>
    <t>Cirurgia de Cabeça e Pescoço</t>
  </si>
  <si>
    <t>Cirurgia de Hérnia</t>
  </si>
  <si>
    <t>Santo Antonio do Tauá</t>
  </si>
  <si>
    <t>De 01 a 13 anos</t>
  </si>
  <si>
    <t>Treinamento Hora/Homem</t>
  </si>
  <si>
    <t>Líquor/Líquidos Cautários</t>
  </si>
  <si>
    <t>Dieta Parenteral</t>
  </si>
  <si>
    <t>Atendimento Ambulatorial</t>
  </si>
  <si>
    <t>Microbiologia/Micologia</t>
  </si>
  <si>
    <t>Área Comum</t>
  </si>
  <si>
    <t>NIR - Núcleo Interno de Regulação</t>
  </si>
  <si>
    <t>Gerência de Enfermagem</t>
  </si>
  <si>
    <t>RH - Recursos Humanos</t>
  </si>
  <si>
    <t>SADT - Serviço de Apoio ao Diagnóticos e Tratamento</t>
  </si>
  <si>
    <t>Fígado e Vias Biliares</t>
  </si>
  <si>
    <t>3.2.1. Exames por  Unidade - Paciente Interno</t>
  </si>
  <si>
    <t>3.1.2. Exames por Unidade - Paciente Externo</t>
  </si>
  <si>
    <t>Ultrassonografia com Doppler</t>
  </si>
  <si>
    <t>SCIH - Serviço de Controle de Infecção Hospitalar</t>
  </si>
  <si>
    <t>S.A.U - Serviço de Atenção ao Usuário</t>
  </si>
  <si>
    <t>Oftalmologia</t>
  </si>
  <si>
    <t>3.1.1. Exames por  Unidade - Paciente Interno</t>
  </si>
  <si>
    <t>3.2.2. Exames por Unidade - Paciente Externo</t>
  </si>
  <si>
    <t>3.3.1. Exames por  Unidade - Paciente Interno</t>
  </si>
  <si>
    <t>3.3.2. Exames por Unidade - Paciente Externo</t>
  </si>
  <si>
    <t>3.4.1. Exames por  Unidade - Paciente Interno</t>
  </si>
  <si>
    <t>3.4.2. Exames por Unidade - Paciente Externo</t>
  </si>
  <si>
    <t>Fisioterapia (Sessões)</t>
  </si>
  <si>
    <t>Fonoaudiologia (Sessões)</t>
  </si>
  <si>
    <t>NEP - Núcleo de Educação Permanente</t>
  </si>
  <si>
    <t>SND - Serviço de Nutrição e Dietético</t>
  </si>
  <si>
    <t>S.A.U - Serviço de Atendimento ao Usuário</t>
  </si>
  <si>
    <t>SPR - Serv. Processam. Roupa</t>
  </si>
  <si>
    <t>SHL - Serviço de Higienização e Limpeza</t>
  </si>
  <si>
    <t>Contabilidade</t>
  </si>
  <si>
    <t>Departamento Pessoal</t>
  </si>
  <si>
    <t>NQSP - Núcleo da Qualidade e Segurança do Paciente</t>
  </si>
  <si>
    <t>RH - Recurso Humano</t>
  </si>
  <si>
    <t>TI - Tecnologia da Informação</t>
  </si>
  <si>
    <t>Controladoria</t>
  </si>
  <si>
    <t>Radiologia</t>
  </si>
  <si>
    <t>SESMT - Serviços Especializados e Engenharia de Segurança e Medina do Trabalho</t>
  </si>
  <si>
    <t>1. Estatística de Pacientes Internados</t>
  </si>
  <si>
    <t>Cirurgias Diversas</t>
  </si>
  <si>
    <t>2.3. Centro Cirúrgico - Procedimento Endoscópico</t>
  </si>
  <si>
    <t>2.3.1. Procedimento Endoscópico por Porte</t>
  </si>
  <si>
    <t>Porte Pequeno</t>
  </si>
  <si>
    <t>Porte Médio</t>
  </si>
  <si>
    <t>Porte Grande</t>
  </si>
  <si>
    <t>Número de Óbitos durante o Procedimento</t>
  </si>
  <si>
    <t>Média Diária de Procedimento</t>
  </si>
  <si>
    <t>2.3.3 Procedimento por Tipo</t>
  </si>
  <si>
    <t>Balão Intragastrico</t>
  </si>
  <si>
    <t>2.4. Anestesia</t>
  </si>
  <si>
    <t>2.4.1. Número de Anestesias por Tipo</t>
  </si>
  <si>
    <t>2.4.2. Anestesias por Unidade</t>
  </si>
  <si>
    <t>Psiquiatria</t>
  </si>
  <si>
    <t>Laboratório de Análises Clinicas</t>
  </si>
  <si>
    <t>Ulionópolis</t>
  </si>
  <si>
    <t>2.3.2. Procedimento de Pacientes por Tipo</t>
  </si>
  <si>
    <t>2.5. Central de Material Esterilizado</t>
  </si>
  <si>
    <t>2.5.1. Produção</t>
  </si>
  <si>
    <t>2.5.2. Pacotes Distribuídos por Setor</t>
  </si>
  <si>
    <t>2.6. Ambulatório de Referência e Pronto Atendimento</t>
  </si>
  <si>
    <t>2.6.1. Consultas - Ambulatório</t>
  </si>
  <si>
    <t>2.6.2. Atendimento por Especialidades – Ambulatório - Consultas Médicas</t>
  </si>
  <si>
    <t>Gerador</t>
  </si>
  <si>
    <t>Engenharia Clínica</t>
  </si>
  <si>
    <t>Polissonografia</t>
  </si>
  <si>
    <t>Escleroterapia Ecoviada com Espuma</t>
  </si>
  <si>
    <t>Medicina Nuclear - Cintilografia</t>
  </si>
  <si>
    <t>HOSPITAL JEAN BITAR – HJB</t>
  </si>
  <si>
    <t>Endoscopia Digestiva Alta</t>
  </si>
  <si>
    <t>Abdominal Total</t>
  </si>
  <si>
    <t>Coluna Torácica</t>
  </si>
  <si>
    <t>3. Serviço de Apoio Diagnóstico Terapêutico</t>
  </si>
  <si>
    <t>Cirurgias Urgentes</t>
  </si>
  <si>
    <t>Uréase</t>
  </si>
  <si>
    <t>Abdômen</t>
  </si>
  <si>
    <t>Medicina Nuclear - Iodoterapia</t>
  </si>
  <si>
    <t>Telefonista</t>
  </si>
  <si>
    <t>Auxiliares Administrativos</t>
  </si>
  <si>
    <t>Aprendizes</t>
  </si>
  <si>
    <t>Assistente da Diretoria</t>
  </si>
  <si>
    <t>CME - Centro de Material e Esterialização</t>
  </si>
  <si>
    <t>Técnico de Enfermagem</t>
  </si>
  <si>
    <t>% do Pessoal de Serv. Adm</t>
  </si>
  <si>
    <t>ANO:</t>
  </si>
  <si>
    <t>GESTORES:</t>
  </si>
  <si>
    <t>RODRIGO FRÖHLICH</t>
  </si>
  <si>
    <t>DENISE VILLACORTA</t>
  </si>
  <si>
    <t>CAROLINA KAHWAGE</t>
  </si>
  <si>
    <t>SUMÁRIO</t>
  </si>
  <si>
    <t>1.</t>
  </si>
  <si>
    <t>Estatística de Pacientes Internados</t>
  </si>
  <si>
    <t>2.6.3. Atendimento por Especialidades – Ambulatório - Consultas Não Médicas</t>
  </si>
  <si>
    <t>2.6.4. Procedimentos Realizados no ambulatório</t>
  </si>
  <si>
    <t>2.7. Atividades Sociais</t>
  </si>
  <si>
    <t>2.7.1. S.A.U - Serviço de Atenção ao Usuário</t>
  </si>
  <si>
    <t>1.1.</t>
  </si>
  <si>
    <t>1.2.</t>
  </si>
  <si>
    <t>1.3.</t>
  </si>
  <si>
    <t>1.4.</t>
  </si>
  <si>
    <t>1.5.</t>
  </si>
  <si>
    <t>1.6.</t>
  </si>
  <si>
    <t>1.7.</t>
  </si>
  <si>
    <t>1.8.</t>
  </si>
  <si>
    <t>1.10.</t>
  </si>
  <si>
    <t>1.11.</t>
  </si>
  <si>
    <t>1.12.</t>
  </si>
  <si>
    <t>1.13.</t>
  </si>
  <si>
    <t>1.14.</t>
  </si>
  <si>
    <t>1.15.</t>
  </si>
  <si>
    <t>1.16.</t>
  </si>
  <si>
    <t>1.17.</t>
  </si>
  <si>
    <t>1.18.</t>
  </si>
  <si>
    <t>1.19.</t>
  </si>
  <si>
    <t>1.20.</t>
  </si>
  <si>
    <t>1.21.</t>
  </si>
  <si>
    <t>1.22.</t>
  </si>
  <si>
    <t>1.23.</t>
  </si>
  <si>
    <t>1.24.</t>
  </si>
  <si>
    <t>1.25.</t>
  </si>
  <si>
    <t>Taxa de Mortalidade por Tipo</t>
  </si>
  <si>
    <t>Taxa de Mortalidade por Unidade</t>
  </si>
  <si>
    <t>Índice de Giro de Leitos p/ Unidade</t>
  </si>
  <si>
    <t>Média de Permanência por Unidade</t>
  </si>
  <si>
    <t>Porcentagem de Ocupação por Unidade</t>
  </si>
  <si>
    <t>Pacientes Saídos por Unidade</t>
  </si>
  <si>
    <t>Pacientes Saídos p/ Especialidade</t>
  </si>
  <si>
    <t>Transferência Interna por Unidade (Saída)</t>
  </si>
  <si>
    <t>Transferência Interna por Unidade (Entrada)</t>
  </si>
  <si>
    <t>Óbitos por Faixa Etária</t>
  </si>
  <si>
    <t>Óbitos Institucionais p/ Especialidade  (+48h)</t>
  </si>
  <si>
    <t>Óbitos Não Institucionais p/ Especialidade (-48h)</t>
  </si>
  <si>
    <t>Óbitos por Unidade</t>
  </si>
  <si>
    <t>Óbitos por Especialidade</t>
  </si>
  <si>
    <t>Altas por Unidade (sem transferências)</t>
  </si>
  <si>
    <t>Altas Melhoradas Por Especialidade</t>
  </si>
  <si>
    <t xml:space="preserve"> Internações por Faixa etária</t>
  </si>
  <si>
    <t>Internações por Município</t>
  </si>
  <si>
    <t>Internações por Unidade</t>
  </si>
  <si>
    <t>Internações por Especialidade</t>
  </si>
  <si>
    <t>Média Diária de Pacientes por Unidade</t>
  </si>
  <si>
    <t>Nº de Pacientes-Dia por Unidade</t>
  </si>
  <si>
    <t>Nº de Pacientes-Dia por Especialidade</t>
  </si>
  <si>
    <t>Nº de Leitos-Dia por Unidade</t>
  </si>
  <si>
    <t>Nº de Leitos por Unidade</t>
  </si>
  <si>
    <t>1.9.</t>
  </si>
  <si>
    <t>2.</t>
  </si>
  <si>
    <t>2.1.</t>
  </si>
  <si>
    <t>2.2.</t>
  </si>
  <si>
    <t>2.3.</t>
  </si>
  <si>
    <t>2.4.</t>
  </si>
  <si>
    <t>2.5.</t>
  </si>
  <si>
    <t>2.6.</t>
  </si>
  <si>
    <t>2.6.2.</t>
  </si>
  <si>
    <t>2.6.3.</t>
  </si>
  <si>
    <t>2.6.4.</t>
  </si>
  <si>
    <t>2.7.</t>
  </si>
  <si>
    <t>2.7.1.</t>
  </si>
  <si>
    <t>2.7.2.</t>
  </si>
  <si>
    <t>2.7.3.</t>
  </si>
  <si>
    <t>2.7.4.</t>
  </si>
  <si>
    <t>Serviços Assistenciais</t>
  </si>
  <si>
    <t>Anestesia</t>
  </si>
  <si>
    <t>Centro Cirúrgico - Procedimento Endoscópico</t>
  </si>
  <si>
    <t>Central de Material Esterilizado</t>
  </si>
  <si>
    <t>Ambulatório de Referência e Pronto Atendimento</t>
  </si>
  <si>
    <t>Atendimento por Especialidades – Ambulatório - Consultas Médicas</t>
  </si>
  <si>
    <t>Atendimento por Especialidades – Ambulatório - Consultas Não Médicas</t>
  </si>
  <si>
    <t>Procedimentos Realizados no ambulatório</t>
  </si>
  <si>
    <t>Atividades Sociais</t>
  </si>
  <si>
    <t>Serviço Nutricional</t>
  </si>
  <si>
    <t>Serviço Psicologia</t>
  </si>
  <si>
    <t>Educação Permanente</t>
  </si>
  <si>
    <t>PLANO ESTATÍSTICO - HOSPITAL JEAN BITAR - INDSH - SESPA</t>
  </si>
  <si>
    <t>3.</t>
  </si>
  <si>
    <t>3.1.</t>
  </si>
  <si>
    <t>3.2.</t>
  </si>
  <si>
    <t>3.3.</t>
  </si>
  <si>
    <t>3.4.</t>
  </si>
  <si>
    <t>3.5.</t>
  </si>
  <si>
    <t>3.6.</t>
  </si>
  <si>
    <t>3.7.</t>
  </si>
  <si>
    <t>3.8.</t>
  </si>
  <si>
    <t>3.9.</t>
  </si>
  <si>
    <t>3.10.</t>
  </si>
  <si>
    <t>3.11.</t>
  </si>
  <si>
    <t>3.12.</t>
  </si>
  <si>
    <t>3.13.</t>
  </si>
  <si>
    <t>3.14.</t>
  </si>
  <si>
    <t>3.15.</t>
  </si>
  <si>
    <t>3.16.</t>
  </si>
  <si>
    <t>3.17.</t>
  </si>
  <si>
    <t>3.18.</t>
  </si>
  <si>
    <t>3.19.</t>
  </si>
  <si>
    <t>3.20.</t>
  </si>
  <si>
    <t>3.21.</t>
  </si>
  <si>
    <t>3.22.</t>
  </si>
  <si>
    <t>3.23.</t>
  </si>
  <si>
    <t>3.24.</t>
  </si>
  <si>
    <t>3.25.</t>
  </si>
  <si>
    <t>3.26.</t>
  </si>
  <si>
    <t>3.27.</t>
  </si>
  <si>
    <t>3.28.</t>
  </si>
  <si>
    <t>3.29.</t>
  </si>
  <si>
    <t>3.30.</t>
  </si>
  <si>
    <t>Anátomo Patológico</t>
  </si>
  <si>
    <t>Densitometria Óssea</t>
  </si>
  <si>
    <t>ECG - Eletrocardiograma</t>
  </si>
  <si>
    <t>Endoscopia Digestiva Baixa - Colonoscopia</t>
  </si>
  <si>
    <t>Espirometria - Prova de Função Pulmonar</t>
  </si>
  <si>
    <t>Laboratório de Análises Clínicas</t>
  </si>
  <si>
    <t>MAPA - Monitorização Ambulatorial de Pressão Arterial</t>
  </si>
  <si>
    <t>PAAF - Biópsia de Tireóide</t>
  </si>
  <si>
    <t>Radiologia - Raio-X</t>
  </si>
  <si>
    <t>Teste Ergométrico</t>
  </si>
  <si>
    <t>Fonoaudiologia</t>
  </si>
  <si>
    <t>Terapia Ocupacional</t>
  </si>
  <si>
    <t>Hemoterapia - Agência Transfusional</t>
  </si>
  <si>
    <t>Hemodiálise</t>
  </si>
  <si>
    <t>Total SADT Internos</t>
  </si>
  <si>
    <t>Total SADT Externos</t>
  </si>
  <si>
    <t>TOTAL GERAL  SADT</t>
  </si>
  <si>
    <t>Total Tratamentos Internos</t>
  </si>
  <si>
    <t>4.</t>
  </si>
  <si>
    <t>4.1.</t>
  </si>
  <si>
    <t>4.2.</t>
  </si>
  <si>
    <t>4.3.</t>
  </si>
  <si>
    <t>4.4.</t>
  </si>
  <si>
    <t>4.5.</t>
  </si>
  <si>
    <t>4.6.</t>
  </si>
  <si>
    <t>4.7.</t>
  </si>
  <si>
    <t>Nutrição e Dietética</t>
  </si>
  <si>
    <t>Serviços de Apoio</t>
  </si>
  <si>
    <t>Processamento da Roupa</t>
  </si>
  <si>
    <t>Encadernação</t>
  </si>
  <si>
    <t>Plastificação</t>
  </si>
  <si>
    <t>Cópias</t>
  </si>
  <si>
    <t>5.</t>
  </si>
  <si>
    <t>6.</t>
  </si>
  <si>
    <t>Serviços Administrativos</t>
  </si>
  <si>
    <t>Resumo Geral de Informações</t>
  </si>
  <si>
    <t>Gerente de Enfermagem</t>
  </si>
  <si>
    <t>2.7.5.</t>
  </si>
  <si>
    <t>Serviço de Apoio Diagnóstico Terapêutico</t>
  </si>
  <si>
    <t xml:space="preserve">GIOVANE MERENDA      </t>
  </si>
  <si>
    <t>DIRETOR EXECUTIVO</t>
  </si>
  <si>
    <t>DIRETOR ADMINISTRATIVO E FINANCEIRO</t>
  </si>
  <si>
    <t>DIRETORA TÉCNICA</t>
  </si>
  <si>
    <t>DIRETORA CLÍNICA</t>
  </si>
  <si>
    <t>SOLANGE ANTONELLI</t>
  </si>
  <si>
    <t>GERENTE ASSISTÊNCIAL</t>
  </si>
  <si>
    <t>Maqueiro</t>
  </si>
  <si>
    <t>Coordenação de Apoio</t>
  </si>
  <si>
    <t>Coordenação de Enfermagem</t>
  </si>
  <si>
    <t>Bomba de Insulina</t>
  </si>
  <si>
    <t/>
  </si>
  <si>
    <t>3.31.</t>
  </si>
  <si>
    <t>3.32.2</t>
  </si>
  <si>
    <t>3.33.</t>
  </si>
  <si>
    <t>Ponta de Pedras</t>
  </si>
  <si>
    <t>1.17. Transferência Interna por Unidade (Internas)</t>
  </si>
  <si>
    <t>1.18. Transferência Interna por Unidade (Externas)</t>
  </si>
  <si>
    <t>Abdominal Superior</t>
  </si>
  <si>
    <t>Pelve (Ginecologica)</t>
  </si>
  <si>
    <t>Assessoria de Comunicação</t>
  </si>
  <si>
    <t xml:space="preserve">Solicitação de Ambulancia </t>
  </si>
  <si>
    <t>5.1.2. Grau de Instrução - Geral - Internos</t>
  </si>
  <si>
    <t>Acará</t>
  </si>
  <si>
    <t>Colares</t>
  </si>
  <si>
    <t>Redenção</t>
  </si>
  <si>
    <t>Processamentos do Peróxido de Hidrogênio de Baumer</t>
  </si>
  <si>
    <t>São Sebastião da Boa Vista</t>
  </si>
  <si>
    <t>Sangria Terapêutica</t>
  </si>
  <si>
    <t>Plasmaferese Terapêutica</t>
  </si>
  <si>
    <t>Cirurgia do Fígado e Vias Biliares</t>
  </si>
  <si>
    <t>5.1. Departamento Pessoal</t>
  </si>
  <si>
    <t>ACM</t>
  </si>
  <si>
    <t>Total de Saídas Hospitalares</t>
  </si>
  <si>
    <t>Consultas Ambulatórias</t>
  </si>
  <si>
    <t>SADT Internos</t>
  </si>
  <si>
    <t>SADT Externos</t>
  </si>
  <si>
    <t>4.1.1. Refeições Servidas</t>
  </si>
  <si>
    <t>Cirurgias Realizadas</t>
  </si>
  <si>
    <t>Resumo dos Serviços - NOV/2019</t>
  </si>
  <si>
    <t>Cirurgia de Trangêneros</t>
  </si>
  <si>
    <t>3.1. Anátomo Patológico + Imunohistoquímico</t>
  </si>
  <si>
    <t>Abdômem Superior</t>
  </si>
  <si>
    <t>Coluna Cervical/Pescoço</t>
  </si>
  <si>
    <t>Bacia/Pelve/Abdômem Inferior</t>
  </si>
  <si>
    <t>Coluna Lombo-Sacra</t>
  </si>
  <si>
    <t>Membro Inferior (Unilateral)</t>
  </si>
  <si>
    <t>Membro Superior (Unilateral)</t>
  </si>
  <si>
    <t>Sela Turcica</t>
  </si>
  <si>
    <t>Vias Biliares/Colangioressonância</t>
  </si>
  <si>
    <t>Articulação de Membro Inferior</t>
  </si>
  <si>
    <t>Articulação de Membro Superior</t>
  </si>
  <si>
    <t>Segmentos Apendic. (braço/antebraço)</t>
  </si>
  <si>
    <t>Abdômen Agudo</t>
  </si>
  <si>
    <t>Articulação Sacro-Iliaca</t>
  </si>
  <si>
    <t>Articulação Tibio-Tarsica</t>
  </si>
  <si>
    <t>Perna</t>
  </si>
  <si>
    <t>Coluna Toraco-Lombar</t>
  </si>
  <si>
    <t>Mão e Punho (Verificar Idade Óssea)</t>
  </si>
  <si>
    <t>Calcâneo</t>
  </si>
  <si>
    <t>Seios da Face</t>
  </si>
  <si>
    <t>Braço</t>
  </si>
  <si>
    <t>Costelas (por Hemitorax)</t>
  </si>
  <si>
    <t>1.11. Altas por Unidade</t>
  </si>
  <si>
    <t>Aspiração</t>
  </si>
  <si>
    <t>Motora</t>
  </si>
  <si>
    <t>Respitatório</t>
  </si>
  <si>
    <t>Avaliação</t>
  </si>
  <si>
    <t>Estimulação</t>
  </si>
  <si>
    <t>Indicação de GTT</t>
  </si>
  <si>
    <t>Test BDT</t>
  </si>
  <si>
    <t>Médicos</t>
  </si>
  <si>
    <t>Funcionários</t>
  </si>
  <si>
    <t>4.2.3. Resumo de Processamento de Roupa</t>
  </si>
  <si>
    <t>Coloridos de Vasos</t>
  </si>
  <si>
    <t>de Carótida</t>
  </si>
  <si>
    <t>de Membro Inferior Esquerdo - Arterial</t>
  </si>
  <si>
    <t>de Membro Inferior Esquerdo - Venoso</t>
  </si>
  <si>
    <t>de Membro Inferior Direito - Arterial</t>
  </si>
  <si>
    <t>de Membro Inferior Direito - Venoso</t>
  </si>
  <si>
    <t>Balão Intragástrico</t>
  </si>
  <si>
    <t>Total Pesquisas Internos</t>
  </si>
  <si>
    <t>Total Pesquisas Externos</t>
  </si>
  <si>
    <t>Total Pesquisas Realizados</t>
  </si>
  <si>
    <t>SADT</t>
  </si>
  <si>
    <t>Total Visitas Internos</t>
  </si>
  <si>
    <t>Total Visitas Externos</t>
  </si>
  <si>
    <t>Total Visitas Realizados</t>
  </si>
  <si>
    <t>Número de Reoperações do Período</t>
  </si>
  <si>
    <t>Número de Cirurgias Suspensas</t>
  </si>
  <si>
    <t>Amputação - Desarticulação de Membro Inferior</t>
  </si>
  <si>
    <t>Debridamento de Fasceite Necrotizante</t>
  </si>
  <si>
    <t>Traqueostomia</t>
  </si>
  <si>
    <t>Média Diária de Cirúrgias</t>
  </si>
  <si>
    <t>Média Diária de Saídas Hospitalares</t>
  </si>
  <si>
    <t>Média Diária de Internações</t>
  </si>
  <si>
    <t>2.1.5. Procedimentos de Urgências</t>
  </si>
  <si>
    <t>2.7.2. Pesquisa por Unidade - Paciente Interno</t>
  </si>
  <si>
    <t>2.7.3. Pesquisas por Unidade - Paciente Externo</t>
  </si>
  <si>
    <t>2.7.4. Serviço Social</t>
  </si>
  <si>
    <t>2.7.5. Visitas por Unidade - Paciente Interno</t>
  </si>
  <si>
    <t>2.7.6. Visitas por Unidade - Paciente Externo</t>
  </si>
  <si>
    <t>2.7.7. Serviço Nutricional</t>
  </si>
  <si>
    <t>2.7.8. Visitas por Unidade - Paciente Interno</t>
  </si>
  <si>
    <t>2.7.9. Visitas por Unidade - Paciente Externo</t>
  </si>
  <si>
    <t>2.7.10. Serviço Psicologia</t>
  </si>
  <si>
    <t>2.7.11. Visitas por Unidade - Paciente Interno</t>
  </si>
  <si>
    <t>2.7.12. Visitas por Unidade - Paciente Externo</t>
  </si>
  <si>
    <t>2.7.13. Núcleo de Educação Permanente</t>
  </si>
  <si>
    <t>3.2. Balão Intragástrico</t>
  </si>
  <si>
    <t>3.3. Bomba de Insulina - Sistema de Infusão de Insulina</t>
  </si>
  <si>
    <t>3.4. Broncoscopia</t>
  </si>
  <si>
    <t>3.4.3. Procedimentos Secundários - Broncoscopia</t>
  </si>
  <si>
    <t>3.7.1. Exames por  Unidade - Paciente Interno</t>
  </si>
  <si>
    <t>3.7.2. Exames por Unidade - Paciente Externo</t>
  </si>
  <si>
    <t>3.8.1. Exames por  Unidade - Paciente Interno</t>
  </si>
  <si>
    <t>3.8.2. Exames por Unidade - Paciente Externo</t>
  </si>
  <si>
    <t>3.12.1. Exames por  Unidade - Paciente Interno</t>
  </si>
  <si>
    <t>3.12.2. Exames por Unidade - Paciente Externo</t>
  </si>
  <si>
    <t>4.1.3. Refeição Servidas Complementar</t>
  </si>
  <si>
    <t>4.1.4. Refeição Servidas Complementar - Por Unidade</t>
  </si>
  <si>
    <t>2.1.3 Cirurgias por Tipo</t>
  </si>
  <si>
    <t>Laparotomia Exploradora</t>
  </si>
  <si>
    <t>Pleurostomia</t>
  </si>
  <si>
    <t>Dermolipectomia Abdominal Circunferencial</t>
  </si>
  <si>
    <t>Angioplastia Intraluminal de Vasos das Extremidades</t>
  </si>
  <si>
    <t>Drenagem de Hematoma/Abscesso Pré-Peritoneal</t>
  </si>
  <si>
    <t>Lavado Bronco-Alveolar</t>
  </si>
  <si>
    <t>4.1.5. Inutilização de Refeição Complementar</t>
  </si>
  <si>
    <t>Diretoria Executiva</t>
  </si>
  <si>
    <t>Diretoria Administrativa e Financeira</t>
  </si>
  <si>
    <t>Diretoria Técnica</t>
  </si>
  <si>
    <t>Pelve/Bacia/Abdomem Inferior</t>
  </si>
  <si>
    <t>Bom Jesus do Tocantins</t>
  </si>
  <si>
    <t>Capanema</t>
  </si>
  <si>
    <t>Ipixuna do Pará</t>
  </si>
  <si>
    <t>Salinópolis</t>
  </si>
  <si>
    <t>Santa Luzia do Pará</t>
  </si>
  <si>
    <t>Santa Maria do Pará</t>
  </si>
  <si>
    <t>São Francisco do Pará</t>
  </si>
  <si>
    <t>Tomé-Açu</t>
  </si>
  <si>
    <t>2.1.4 Horas de Utilização de Sala no Centro Cirúrgico - Por Tipo de Cirurgia</t>
  </si>
  <si>
    <t>Igarapé -Miri</t>
  </si>
  <si>
    <t>Pau D'arco</t>
  </si>
  <si>
    <t>Portel</t>
  </si>
  <si>
    <t>Tucurui</t>
  </si>
  <si>
    <t>Amputação - Drenagem de abcesso</t>
  </si>
  <si>
    <t>Salvaterra</t>
  </si>
  <si>
    <t>São Felix do Xingu</t>
  </si>
  <si>
    <t>4.3. Coletas de Resíduos de Saúde</t>
  </si>
  <si>
    <t>Tipo B - Químico</t>
  </si>
  <si>
    <t>Tipo A&amp;E - Infectantes e Perfuro Cortantes</t>
  </si>
  <si>
    <t>Tipo C - Radioativos</t>
  </si>
  <si>
    <t>Tipo D - Comuns</t>
  </si>
  <si>
    <t>4.3.1. Kg de Resíduos por Tipo. RDC 222/18</t>
  </si>
  <si>
    <t>4.4. Manutenção</t>
  </si>
  <si>
    <t>4.4.1. Reparos por Área</t>
  </si>
  <si>
    <t>4.4.2. Reparos por Setor</t>
  </si>
  <si>
    <t>4.3.2. Valor Kg de Resíduos de Saúde</t>
  </si>
  <si>
    <t>Vigia</t>
  </si>
  <si>
    <t>Concordia do Pará</t>
  </si>
  <si>
    <t>Parauapebas</t>
  </si>
  <si>
    <t>São Caetano de Odivelas</t>
  </si>
  <si>
    <t>1.14. Óbitos Não Institucionais p/ Especialidade (-24h)</t>
  </si>
  <si>
    <t>1.15. Óbitos Institucionais p/ Especialidade  (+24h)</t>
  </si>
  <si>
    <t>Gurupa</t>
  </si>
  <si>
    <t>Soure</t>
  </si>
  <si>
    <t>Santarém</t>
  </si>
  <si>
    <t>Mastologia</t>
  </si>
  <si>
    <t>PLANO ESTATÍSTICO 2021</t>
  </si>
  <si>
    <t>Nutrologia</t>
  </si>
  <si>
    <t>Otorinolaringologia</t>
  </si>
  <si>
    <t>Curionopolis</t>
  </si>
  <si>
    <t>Medicilandia</t>
  </si>
  <si>
    <t>Nova Esperança do Piriá</t>
  </si>
  <si>
    <t>Pacajá</t>
  </si>
  <si>
    <t>Santarém Novo</t>
  </si>
  <si>
    <t>Tracuateua</t>
  </si>
  <si>
    <t>Otorrinolaringologia</t>
  </si>
  <si>
    <t>Urologia</t>
  </si>
  <si>
    <t>CPRE</t>
  </si>
  <si>
    <t>3.9.1. Exames por  Unidade - Paciente Interno</t>
  </si>
  <si>
    <t>3.9.2. Exames por Unidade - Paciente Externo</t>
  </si>
  <si>
    <t>3.9. Endoscopia Digestiva Baixa - Retossigmoidoscopia</t>
  </si>
  <si>
    <t>3.5. Ecocardiograma</t>
  </si>
  <si>
    <t>3.5.1. Exames por  Unidade - Paciente Interno</t>
  </si>
  <si>
    <t>3.5.2. Exames por Unidade - Paciente Externo</t>
  </si>
  <si>
    <t>3.6. ECG - Eletrocardiograma</t>
  </si>
  <si>
    <t>3.6.1. Exames por  Unidade - Paciente Interno</t>
  </si>
  <si>
    <t>3.6.2. Exames por Unidade - Paciente Externo</t>
  </si>
  <si>
    <t>3.7. Endoscopia Digestiva Alta</t>
  </si>
  <si>
    <t>3.7.3. Procedimentos Secundários - Endoscopia Digestiva Alta</t>
  </si>
  <si>
    <t>3.8. Endoscopia Digestiva Baixa - Colonoscopia</t>
  </si>
  <si>
    <t>3.8.3. Procedimentos Secundários - Endoscopia Digestiva Baixa - Colonoscopia</t>
  </si>
  <si>
    <t>3.10. Espirometria - Prova de Função Pulmonar</t>
  </si>
  <si>
    <t>3.10.1. Exames por  Unidade - Paciente Interno</t>
  </si>
  <si>
    <t>3.10.2. Exames por Unidade - Paciente Externo</t>
  </si>
  <si>
    <t>3.11. Laboratório de Análises Clínicas</t>
  </si>
  <si>
    <t>3.11.1. Exames por Tipo Pac. Internos e Externos</t>
  </si>
  <si>
    <t>3.11.2. Exames por  Unidade - Paciente Interno</t>
  </si>
  <si>
    <t>3.11.3. Exames por Unidade - Paciente Externo</t>
  </si>
  <si>
    <t>3.12. MAPA - Monitorização Ambulatorial de Pressão Arterial</t>
  </si>
  <si>
    <t>3.13. PAAF - Biópsia de Tireóide</t>
  </si>
  <si>
    <t>3.13.1. Exames por  Unidade - Paciente Interno</t>
  </si>
  <si>
    <t>3.13.2. Exames por Unidade - Paciente Externo</t>
  </si>
  <si>
    <t>3.14. Radiologia - Raio-X</t>
  </si>
  <si>
    <t>3.14.1. Exames por Tipo Paciente Interno e Externo</t>
  </si>
  <si>
    <t>3.14.2. Exames por Tipo - Paciente Interno</t>
  </si>
  <si>
    <t>3.14.3. Exames por Unidade - Paciente Interno</t>
  </si>
  <si>
    <t>3.14.4. Exames por Tipo  - Paciente Externo</t>
  </si>
  <si>
    <t>3.14.5. Exames por Unidade - Paciente Externo</t>
  </si>
  <si>
    <t>3.15. Ressonância Magnética</t>
  </si>
  <si>
    <t>3.15.1. Exames por Tipo Pac. Interno e Externo</t>
  </si>
  <si>
    <t>3.15.2. Exames por Tipo de Pacientes Internos</t>
  </si>
  <si>
    <t>3.15.3. Exames por  Unidade - Paciente Interno</t>
  </si>
  <si>
    <t>3.15.4. Exames por Tipo de Pacientes Externo</t>
  </si>
  <si>
    <t>3.15.5. Exames por Unidade - Paciente Externo</t>
  </si>
  <si>
    <t>3.16. Tomografia</t>
  </si>
  <si>
    <t>3.16.1. Exames por Tipo Pacientes Internos e Externos</t>
  </si>
  <si>
    <t>3.16.2. Exames por Tipo de Pacientes Internos</t>
  </si>
  <si>
    <t>3.16.3. Exames por  Unidade - Paciente Interno</t>
  </si>
  <si>
    <t>3.16.4. Exames por Tipo de Pacientes Externos</t>
  </si>
  <si>
    <t>3.17. Ultrassonografia</t>
  </si>
  <si>
    <t>3.17.1. Exames por Tipo Pacientes Internos e Externos</t>
  </si>
  <si>
    <t>3.17.2. Exames por Tipo de Pacientes Internos</t>
  </si>
  <si>
    <t>3.17.3. Exames por  Unidade - Paciente Interno</t>
  </si>
  <si>
    <t>3.17.4. Exames por Tipo de Pacientes Externos</t>
  </si>
  <si>
    <t>3.18. Ultrassonografia com Doppler</t>
  </si>
  <si>
    <t>3.18.1. Exames por Tipo Pacientes Internos e Externos</t>
  </si>
  <si>
    <t>3.18.2. Exames por Tipo de Pacientes Internos</t>
  </si>
  <si>
    <t>3.18.3. Exames por  Unidade - Paciente Interno</t>
  </si>
  <si>
    <t>3.18.4. Exames por Tipo de Pacientes Externos</t>
  </si>
  <si>
    <t>3.19. Fisioterapia</t>
  </si>
  <si>
    <t>3.19.1. Sessões por Tipo - Paciente Interno</t>
  </si>
  <si>
    <t>3.19.2. Sessões por Unidade - Paciente Interno</t>
  </si>
  <si>
    <t>3.20. Fonoaudiologia</t>
  </si>
  <si>
    <t>3.20.1. Sessões por Tipo - Paciente Interno</t>
  </si>
  <si>
    <t>3.20.2. Sessões por Unidade - Paciente Interno</t>
  </si>
  <si>
    <t>3.21. Hemoterapia - Agência Transfusional</t>
  </si>
  <si>
    <t>3.21.1. Nº de Bolsas Utilizadas por Unidade</t>
  </si>
  <si>
    <t>3.21.2. Outros Procedimentos</t>
  </si>
  <si>
    <t>3.22. Hemodiálise</t>
  </si>
  <si>
    <t>3.22.1. Nº de Sessões por Unidade</t>
  </si>
  <si>
    <t>3.23. Pulsoterapia</t>
  </si>
  <si>
    <t>3.23.1. Exames por  Unidade - Paciente Interno</t>
  </si>
  <si>
    <t>3.23.2. Exames por Unidade - Paciente Externo</t>
  </si>
  <si>
    <t>3.24. Resumo do Total SADT Internos e Externo</t>
  </si>
  <si>
    <t>3.24.1.  Exames por Tipo</t>
  </si>
  <si>
    <t>3.25. Total SADT Internos</t>
  </si>
  <si>
    <t>3.25.1.  Exames por Tipo</t>
  </si>
  <si>
    <t>3.26. Total SADT Externos</t>
  </si>
  <si>
    <t>3.26.1.  Exames por Tipo</t>
  </si>
  <si>
    <t>3.27. Total SADT Internos</t>
  </si>
  <si>
    <t>3.27.1. Total SADT Externos</t>
  </si>
  <si>
    <t>3.27.2. TOTAL GERAL  SADT</t>
  </si>
  <si>
    <t>3.28. Total Tratamentos Internos</t>
  </si>
  <si>
    <t>3.28.1.  Atendimento por Sessões</t>
  </si>
  <si>
    <t>Arquivo Médico</t>
  </si>
  <si>
    <t>Capela</t>
  </si>
  <si>
    <t>3.24.1. Exames por  Unidade - Paciente Interno</t>
  </si>
  <si>
    <t>3.24.2. Exames por Unidade - Paciente Externo</t>
  </si>
  <si>
    <t>3.24. Testes Funcioanais</t>
  </si>
  <si>
    <t>Teste Funcionais</t>
  </si>
  <si>
    <t>Colonoscopia+Retossigmoidoscopia</t>
  </si>
  <si>
    <t>Almerim</t>
  </si>
  <si>
    <t>Baião</t>
  </si>
  <si>
    <t>Breu Branco</t>
  </si>
  <si>
    <t>Breves</t>
  </si>
  <si>
    <t>Conceição do Araguaia</t>
  </si>
  <si>
    <t>Curralinho</t>
  </si>
  <si>
    <t>Curuça</t>
  </si>
  <si>
    <t>Goianesia do Pará</t>
  </si>
  <si>
    <t>Inhangapi</t>
  </si>
  <si>
    <t>Limoeiro do Ajuru</t>
  </si>
  <si>
    <t>Monte Alegre</t>
  </si>
  <si>
    <t>Nova Timboteua</t>
  </si>
  <si>
    <t>Novo Repartimento</t>
  </si>
  <si>
    <t>Oeiras do Pará</t>
  </si>
  <si>
    <t>Ourém do Pará</t>
  </si>
  <si>
    <t>Peixe-Boi</t>
  </si>
  <si>
    <t>Santa Barbara do Pará</t>
  </si>
  <si>
    <t>Santa Maria das Barreiras</t>
  </si>
  <si>
    <t>São João de Pirabas</t>
  </si>
  <si>
    <t>Tailandia</t>
  </si>
  <si>
    <t>Terra Alta</t>
  </si>
  <si>
    <t>Tucuma</t>
  </si>
  <si>
    <t>47:053</t>
  </si>
  <si>
    <t>Cota</t>
  </si>
  <si>
    <t>Sala de Arquivo</t>
  </si>
  <si>
    <t>LEITO COVID</t>
  </si>
  <si>
    <t>Altamira</t>
  </si>
  <si>
    <t>Bonito</t>
  </si>
  <si>
    <t>Cachoeira do Arari</t>
  </si>
  <si>
    <t>Itupiranga</t>
  </si>
  <si>
    <t>Magalhães Barata</t>
  </si>
  <si>
    <t>Muana</t>
  </si>
  <si>
    <t>São Domingos do Capim</t>
  </si>
  <si>
    <t>Viseu</t>
  </si>
  <si>
    <t>Xinguara</t>
  </si>
  <si>
    <t>Augusto Correa</t>
  </si>
  <si>
    <t>Marapanim</t>
  </si>
  <si>
    <t>Mocajuba</t>
  </si>
  <si>
    <t>Sapucaia</t>
  </si>
  <si>
    <t>Alencar</t>
  </si>
  <si>
    <t>Aurora do Pará</t>
  </si>
  <si>
    <t>Bujaru</t>
  </si>
  <si>
    <t>Garrafão do Norte</t>
  </si>
  <si>
    <t>Itaituba</t>
  </si>
  <si>
    <t>Jacunda</t>
  </si>
  <si>
    <t>Maraba</t>
  </si>
  <si>
    <t>Ourém</t>
  </si>
  <si>
    <t>São João da Ponta</t>
  </si>
  <si>
    <t>Canaã dos Carajás</t>
  </si>
  <si>
    <t>Chaves</t>
  </si>
  <si>
    <t>Rondon do Pará</t>
  </si>
  <si>
    <t>Santana do Araguaia</t>
  </si>
  <si>
    <t>Irituia</t>
  </si>
  <si>
    <t>Porto de Moz</t>
  </si>
  <si>
    <t>Quatipuru</t>
  </si>
  <si>
    <t>Ruropólis</t>
  </si>
  <si>
    <t>Uruara</t>
  </si>
  <si>
    <t>Agua Azul do Norte</t>
  </si>
  <si>
    <t>Melgaço</t>
  </si>
  <si>
    <t>Santa Cruz do Arari</t>
  </si>
  <si>
    <t>Anajás</t>
  </si>
  <si>
    <t>Cachoeira do Piriá</t>
  </si>
  <si>
    <t>Eldorado dos Carajás</t>
  </si>
  <si>
    <t>Ourilândia do Norte</t>
  </si>
  <si>
    <t>Vitoria do Xingu</t>
  </si>
  <si>
    <t>Nefrologia</t>
  </si>
  <si>
    <t>Maracanã</t>
  </si>
  <si>
    <t>Nova Ipixuna</t>
  </si>
  <si>
    <t>Oriximina</t>
  </si>
  <si>
    <t>Bagre</t>
  </si>
  <si>
    <t>Belém, 10 de janeiro de 2022.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</si>
</sst>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1" formatCode="_-* #,##0_-;\-* #,##0_-;_-* &quot;-&quot;_-;_-@_-"/>
    <numFmt numFmtId="43" formatCode="_-* #,##0.00_-;\-* #,##0.00_-;_-* &quot;-&quot;??_-;_-@_-"/>
    <numFmt numFmtId="164" formatCode="0&quot; &quot;;&quot;(&quot;0&quot;)&quot;;&quot;- &quot;;@&quot; &quot;"/>
    <numFmt numFmtId="165" formatCode="#,##0.0"/>
    <numFmt numFmtId="166" formatCode="[h]:mm:ss;@"/>
    <numFmt numFmtId="167" formatCode="#,##0.000"/>
    <numFmt numFmtId="168" formatCode="h:mm:ss;@"/>
    <numFmt numFmtId="169" formatCode="[$-F400]h:mm:ss\ AM/PM"/>
    <numFmt numFmtId="170" formatCode="_-* #,##0.00_-;\-* #,##0.00_-;_-* &quot;-&quot;_-;_-@_-"/>
  </numFmts>
  <fonts count="43">
    <font>
      <sz val="11"/>
      <color rgb="FF000000"/>
      <name val="Liberation sans1"/>
    </font>
    <font>
      <sz val="11"/>
      <color theme="1"/>
      <name val="Calibri"/>
      <family val="2"/>
      <scheme val="minor"/>
    </font>
    <font>
      <sz val="11"/>
      <color rgb="FF000000"/>
      <name val="Arial1"/>
    </font>
    <font>
      <sz val="11"/>
      <color rgb="FF000000"/>
      <name val="Liberation sans1"/>
    </font>
    <font>
      <sz val="9"/>
      <color indexed="81"/>
      <name val="Segoe UI"/>
      <family val="2"/>
    </font>
    <font>
      <b/>
      <sz val="9"/>
      <color indexed="81"/>
      <name val="Segoe UI"/>
      <family val="2"/>
    </font>
    <font>
      <b/>
      <sz val="12"/>
      <color rgb="FF000000"/>
      <name val="Arial"/>
      <family val="2"/>
    </font>
    <font>
      <sz val="12"/>
      <color rgb="FF000000"/>
      <name val="Arial1"/>
    </font>
    <font>
      <sz val="12"/>
      <color rgb="FF000000"/>
      <name val="Liberation sans1"/>
    </font>
    <font>
      <sz val="12"/>
      <name val="Arial"/>
      <family val="2"/>
    </font>
    <font>
      <b/>
      <sz val="12"/>
      <color rgb="FF000000"/>
      <name val="Arial1"/>
    </font>
    <font>
      <sz val="12"/>
      <color rgb="FF000000"/>
      <name val="Arial"/>
      <family val="2"/>
    </font>
    <font>
      <b/>
      <sz val="12"/>
      <name val="Arial"/>
      <family val="2"/>
    </font>
    <font>
      <sz val="12"/>
      <color theme="1"/>
      <name val="Arial"/>
      <family val="2"/>
    </font>
    <font>
      <b/>
      <sz val="12"/>
      <color rgb="FFFF0000"/>
      <name val="Arial1"/>
    </font>
    <font>
      <sz val="12"/>
      <color theme="0"/>
      <name val="Arial"/>
      <family val="2"/>
    </font>
    <font>
      <b/>
      <sz val="12"/>
      <color theme="0"/>
      <name val="Arial"/>
      <family val="2"/>
    </font>
    <font>
      <b/>
      <sz val="12"/>
      <color rgb="FFFF0000"/>
      <name val="Arial"/>
      <family val="2"/>
    </font>
    <font>
      <sz val="12"/>
      <color rgb="FFFF0000"/>
      <name val="Arial1"/>
    </font>
    <font>
      <b/>
      <sz val="12"/>
      <color rgb="FF0000FF"/>
      <name val="Arial1"/>
    </font>
    <font>
      <b/>
      <sz val="11"/>
      <color rgb="FF000000"/>
      <name val="Arial1"/>
    </font>
    <font>
      <sz val="9"/>
      <color rgb="FF000000"/>
      <name val="Arial"/>
      <family val="2"/>
    </font>
    <font>
      <b/>
      <sz val="9"/>
      <color rgb="FF000000"/>
      <name val="Arial"/>
      <family val="2"/>
    </font>
    <font>
      <sz val="11"/>
      <color rgb="FF000000"/>
      <name val="Arial"/>
      <family val="2"/>
    </font>
    <font>
      <sz val="12"/>
      <color theme="0"/>
      <name val="Arial1"/>
    </font>
    <font>
      <sz val="12"/>
      <color theme="0"/>
      <name val="Liberation sans1"/>
    </font>
    <font>
      <b/>
      <sz val="12"/>
      <color theme="0"/>
      <name val="Arial1"/>
    </font>
    <font>
      <b/>
      <sz val="11"/>
      <color rgb="FF000000"/>
      <name val="Liberation sans1"/>
    </font>
    <font>
      <u/>
      <sz val="11"/>
      <color theme="10"/>
      <name val="Liberation sans1"/>
    </font>
    <font>
      <b/>
      <sz val="11"/>
      <color rgb="FF000000"/>
      <name val="Arial"/>
      <family val="2"/>
    </font>
    <font>
      <u/>
      <sz val="11"/>
      <color theme="10"/>
      <name val="Arial"/>
      <family val="2"/>
    </font>
    <font>
      <b/>
      <sz val="16"/>
      <name val="Arial"/>
      <family val="2"/>
    </font>
    <font>
      <sz val="10"/>
      <color rgb="FF000000"/>
      <name val="Arial"/>
      <family val="2"/>
    </font>
    <font>
      <b/>
      <sz val="10"/>
      <color rgb="FF000000"/>
      <name val="Arial"/>
      <family val="2"/>
    </font>
    <font>
      <b/>
      <sz val="10"/>
      <color theme="0"/>
      <name val="Liberation sans1"/>
    </font>
    <font>
      <b/>
      <sz val="10"/>
      <color theme="0"/>
      <name val="Arial"/>
      <family val="2"/>
    </font>
    <font>
      <b/>
      <i/>
      <sz val="10"/>
      <color rgb="FF000000"/>
      <name val="Arial"/>
      <family val="2"/>
    </font>
    <font>
      <b/>
      <sz val="9"/>
      <name val="Arial"/>
      <family val="2"/>
    </font>
    <font>
      <b/>
      <sz val="9"/>
      <color indexed="81"/>
      <name val="Arial"/>
      <family val="2"/>
    </font>
    <font>
      <sz val="9"/>
      <color indexed="81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7.5"/>
      <color indexed="81"/>
      <name val="Segoe UI"/>
      <family val="2"/>
    </font>
  </fonts>
  <fills count="16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2"/>
        <bgColor rgb="FFFFFFFF"/>
      </patternFill>
    </fill>
    <fill>
      <patternFill patternType="solid">
        <fgColor theme="0" tint="-0.14999847407452621"/>
        <bgColor rgb="FFFFFFC0"/>
      </patternFill>
    </fill>
    <fill>
      <patternFill patternType="solid">
        <fgColor theme="2"/>
        <bgColor rgb="FFFFFFC0"/>
      </patternFill>
    </fill>
    <fill>
      <patternFill patternType="solid">
        <fgColor theme="2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0" tint="-0.14999847407452621"/>
        <bgColor rgb="FF69FFFF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rgb="FF002060"/>
        <bgColor rgb="FFFFFFC0"/>
      </patternFill>
    </fill>
    <fill>
      <patternFill patternType="solid">
        <fgColor theme="0"/>
        <bgColor rgb="FFB2B2B2"/>
      </patternFill>
    </fill>
    <fill>
      <patternFill patternType="solid">
        <fgColor theme="9" tint="0.39997558519241921"/>
        <bgColor rgb="FFA0E0E0"/>
      </patternFill>
    </fill>
    <fill>
      <patternFill patternType="solid">
        <fgColor theme="9" tint="0.39997558519241921"/>
        <bgColor indexed="64"/>
      </patternFill>
    </fill>
  </fills>
  <borders count="85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rgb="FF000000"/>
      </top>
      <bottom style="thin">
        <color indexed="64"/>
      </bottom>
      <diagonal/>
    </border>
    <border>
      <left/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rgb="FF000000"/>
      </top>
      <bottom/>
      <diagonal/>
    </border>
    <border>
      <left style="thin">
        <color indexed="64"/>
      </left>
      <right/>
      <top/>
      <bottom style="thin">
        <color rgb="FF00000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indexed="64"/>
      </top>
      <bottom/>
      <diagonal/>
    </border>
    <border>
      <left style="thin">
        <color rgb="FF000000"/>
      </left>
      <right style="thin">
        <color indexed="64"/>
      </right>
      <top style="thin">
        <color indexed="64"/>
      </top>
      <bottom/>
      <diagonal/>
    </border>
    <border>
      <left/>
      <right style="thin">
        <color rgb="FF000000"/>
      </right>
      <top style="medium">
        <color indexed="64"/>
      </top>
      <bottom style="thin">
        <color rgb="FF000000"/>
      </bottom>
      <diagonal/>
    </border>
    <border>
      <left/>
      <right style="medium">
        <color indexed="64"/>
      </right>
      <top style="medium">
        <color indexed="64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indexed="64"/>
      </bottom>
      <diagonal/>
    </border>
    <border>
      <left/>
      <right style="medium">
        <color indexed="64"/>
      </right>
      <top style="thin">
        <color rgb="FF000000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rgb="FF000000"/>
      </top>
      <bottom style="medium">
        <color indexed="64"/>
      </bottom>
      <diagonal/>
    </border>
    <border>
      <left/>
      <right/>
      <top/>
      <bottom style="double">
        <color indexed="64"/>
      </bottom>
      <diagonal/>
    </border>
    <border>
      <left style="double">
        <color indexed="64"/>
      </left>
      <right/>
      <top/>
      <bottom/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indexed="64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indexed="64"/>
      </bottom>
      <diagonal/>
    </border>
    <border>
      <left/>
      <right style="medium">
        <color indexed="64"/>
      </right>
      <top style="thin">
        <color rgb="FF000000"/>
      </top>
      <bottom style="thin">
        <color rgb="FF000000"/>
      </bottom>
      <diagonal/>
    </border>
  </borders>
  <cellStyleXfs count="6">
    <xf numFmtId="0" fontId="0" fillId="0" borderId="0"/>
    <xf numFmtId="9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0" fontId="28" fillId="0" borderId="0" applyNumberFormat="0" applyFill="0" applyBorder="0" applyAlignment="0" applyProtection="0"/>
    <xf numFmtId="0" fontId="1" fillId="0" borderId="0"/>
  </cellStyleXfs>
  <cellXfs count="566">
    <xf numFmtId="0" fontId="0" fillId="0" borderId="0" xfId="0" applyFont="1" applyAlignment="1"/>
    <xf numFmtId="0" fontId="2" fillId="0" borderId="6" xfId="0" applyFont="1" applyBorder="1" applyAlignment="1">
      <alignment horizontal="right" vertical="center"/>
    </xf>
    <xf numFmtId="0" fontId="2" fillId="0" borderId="0" xfId="0" applyFont="1" applyAlignment="1">
      <alignment horizontal="right" vertical="center"/>
    </xf>
    <xf numFmtId="0" fontId="0" fillId="0" borderId="0" xfId="0" applyFont="1" applyAlignment="1"/>
    <xf numFmtId="0" fontId="0" fillId="0" borderId="0" xfId="0" applyFont="1" applyAlignment="1"/>
    <xf numFmtId="2" fontId="6" fillId="8" borderId="11" xfId="0" applyNumberFormat="1" applyFont="1" applyFill="1" applyBorder="1" applyAlignment="1">
      <alignment horizontal="left" vertical="center"/>
    </xf>
    <xf numFmtId="3" fontId="6" fillId="8" borderId="11" xfId="0" applyNumberFormat="1" applyFont="1" applyFill="1" applyBorder="1" applyAlignment="1">
      <alignment horizontal="center" vertical="center"/>
    </xf>
    <xf numFmtId="4" fontId="6" fillId="4" borderId="11" xfId="0" applyNumberFormat="1" applyFont="1" applyFill="1" applyBorder="1" applyAlignment="1">
      <alignment horizontal="right" vertical="center"/>
    </xf>
    <xf numFmtId="2" fontId="7" fillId="0" borderId="0" xfId="0" applyNumberFormat="1" applyFont="1" applyAlignment="1">
      <alignment horizontal="right" vertical="center"/>
    </xf>
    <xf numFmtId="0" fontId="8" fillId="0" borderId="0" xfId="0" applyFont="1" applyAlignment="1"/>
    <xf numFmtId="2" fontId="10" fillId="0" borderId="0" xfId="0" applyNumberFormat="1" applyFont="1" applyAlignment="1">
      <alignment horizontal="right" vertical="center"/>
    </xf>
    <xf numFmtId="2" fontId="11" fillId="2" borderId="2" xfId="0" applyNumberFormat="1" applyFont="1" applyFill="1" applyBorder="1" applyAlignment="1">
      <alignment vertical="center"/>
    </xf>
    <xf numFmtId="3" fontId="11" fillId="2" borderId="2" xfId="0" applyNumberFormat="1" applyFont="1" applyFill="1" applyBorder="1" applyAlignment="1">
      <alignment vertical="center"/>
    </xf>
    <xf numFmtId="4" fontId="11" fillId="0" borderId="0" xfId="0" applyNumberFormat="1" applyFont="1" applyAlignment="1">
      <alignment horizontal="right" vertical="center"/>
    </xf>
    <xf numFmtId="2" fontId="12" fillId="5" borderId="1" xfId="0" applyNumberFormat="1" applyFont="1" applyFill="1" applyBorder="1" applyAlignment="1">
      <alignment vertical="center"/>
    </xf>
    <xf numFmtId="3" fontId="9" fillId="6" borderId="2" xfId="0" applyNumberFormat="1" applyFont="1" applyFill="1" applyBorder="1" applyAlignment="1"/>
    <xf numFmtId="4" fontId="9" fillId="6" borderId="3" xfId="0" applyNumberFormat="1" applyFont="1" applyFill="1" applyBorder="1" applyAlignment="1"/>
    <xf numFmtId="2" fontId="11" fillId="0" borderId="4" xfId="0" applyNumberFormat="1" applyFont="1" applyBorder="1" applyAlignment="1">
      <alignment horizontal="left" vertical="center"/>
    </xf>
    <xf numFmtId="3" fontId="11" fillId="0" borderId="4" xfId="0" applyNumberFormat="1" applyFont="1" applyFill="1" applyBorder="1" applyAlignment="1">
      <alignment horizontal="right" vertical="center"/>
    </xf>
    <xf numFmtId="4" fontId="6" fillId="0" borderId="4" xfId="0" applyNumberFormat="1" applyFont="1" applyFill="1" applyBorder="1" applyAlignment="1">
      <alignment horizontal="right" vertical="center"/>
    </xf>
    <xf numFmtId="2" fontId="6" fillId="6" borderId="4" xfId="0" applyNumberFormat="1" applyFont="1" applyFill="1" applyBorder="1" applyAlignment="1">
      <alignment vertical="center"/>
    </xf>
    <xf numFmtId="3" fontId="6" fillId="6" borderId="4" xfId="0" applyNumberFormat="1" applyFont="1" applyFill="1" applyBorder="1" applyAlignment="1">
      <alignment horizontal="right" vertical="center"/>
    </xf>
    <xf numFmtId="4" fontId="6" fillId="6" borderId="4" xfId="0" applyNumberFormat="1" applyFont="1" applyFill="1" applyBorder="1" applyAlignment="1">
      <alignment horizontal="right" vertical="center"/>
    </xf>
    <xf numFmtId="164" fontId="11" fillId="0" borderId="2" xfId="0" applyNumberFormat="1" applyFont="1" applyBorder="1" applyAlignment="1">
      <alignment vertical="center"/>
    </xf>
    <xf numFmtId="3" fontId="11" fillId="0" borderId="2" xfId="0" applyNumberFormat="1" applyFont="1" applyBorder="1" applyAlignment="1">
      <alignment vertical="center"/>
    </xf>
    <xf numFmtId="3" fontId="11" fillId="0" borderId="2" xfId="0" applyNumberFormat="1" applyFont="1" applyBorder="1" applyAlignment="1">
      <alignment horizontal="right" vertical="center"/>
    </xf>
    <xf numFmtId="4" fontId="11" fillId="0" borderId="2" xfId="0" applyNumberFormat="1" applyFont="1" applyBorder="1" applyAlignment="1">
      <alignment horizontal="right" vertical="center"/>
    </xf>
    <xf numFmtId="3" fontId="12" fillId="5" borderId="2" xfId="0" applyNumberFormat="1" applyFont="1" applyFill="1" applyBorder="1" applyAlignment="1">
      <alignment vertical="center"/>
    </xf>
    <xf numFmtId="4" fontId="12" fillId="5" borderId="3" xfId="0" applyNumberFormat="1" applyFont="1" applyFill="1" applyBorder="1" applyAlignment="1">
      <alignment vertical="center"/>
    </xf>
    <xf numFmtId="2" fontId="11" fillId="0" borderId="4" xfId="0" applyNumberFormat="1" applyFont="1" applyBorder="1" applyAlignment="1">
      <alignment vertical="center"/>
    </xf>
    <xf numFmtId="164" fontId="11" fillId="0" borderId="6" xfId="0" applyNumberFormat="1" applyFont="1" applyBorder="1" applyAlignment="1">
      <alignment vertical="center"/>
    </xf>
    <xf numFmtId="3" fontId="11" fillId="0" borderId="6" xfId="0" applyNumberFormat="1" applyFont="1" applyBorder="1" applyAlignment="1">
      <alignment vertical="center"/>
    </xf>
    <xf numFmtId="3" fontId="11" fillId="0" borderId="6" xfId="0" applyNumberFormat="1" applyFont="1" applyBorder="1" applyAlignment="1">
      <alignment horizontal="right" vertical="center"/>
    </xf>
    <xf numFmtId="2" fontId="13" fillId="10" borderId="4" xfId="0" applyNumberFormat="1" applyFont="1" applyFill="1" applyBorder="1" applyAlignment="1">
      <alignment vertical="center"/>
    </xf>
    <xf numFmtId="2" fontId="11" fillId="0" borderId="4" xfId="0" applyNumberFormat="1" applyFont="1" applyBorder="1" applyAlignment="1">
      <alignment vertical="center" wrapText="1"/>
    </xf>
    <xf numFmtId="3" fontId="11" fillId="0" borderId="11" xfId="0" applyNumberFormat="1" applyFont="1" applyFill="1" applyBorder="1" applyAlignment="1">
      <alignment horizontal="right" vertical="center"/>
    </xf>
    <xf numFmtId="3" fontId="11" fillId="0" borderId="5" xfId="0" applyNumberFormat="1" applyFont="1" applyFill="1" applyBorder="1" applyAlignment="1">
      <alignment horizontal="right" vertical="center"/>
    </xf>
    <xf numFmtId="2" fontId="11" fillId="0" borderId="4" xfId="0" applyNumberFormat="1" applyFont="1" applyBorder="1" applyAlignment="1">
      <alignment horizontal="left" vertical="center" wrapText="1"/>
    </xf>
    <xf numFmtId="3" fontId="11" fillId="0" borderId="2" xfId="0" applyNumberFormat="1" applyFont="1" applyFill="1" applyBorder="1" applyAlignment="1">
      <alignment vertical="center"/>
    </xf>
    <xf numFmtId="3" fontId="11" fillId="0" borderId="2" xfId="0" applyNumberFormat="1" applyFont="1" applyFill="1" applyBorder="1" applyAlignment="1">
      <alignment horizontal="right" vertical="center"/>
    </xf>
    <xf numFmtId="4" fontId="11" fillId="0" borderId="0" xfId="0" applyNumberFormat="1" applyFont="1" applyFill="1" applyAlignment="1">
      <alignment horizontal="right" vertical="center"/>
    </xf>
    <xf numFmtId="2" fontId="11" fillId="0" borderId="11" xfId="0" applyNumberFormat="1" applyFont="1" applyBorder="1" applyAlignment="1">
      <alignment horizontal="left" vertical="center" wrapText="1"/>
    </xf>
    <xf numFmtId="4" fontId="6" fillId="0" borderId="11" xfId="0" applyNumberFormat="1" applyFont="1" applyFill="1" applyBorder="1" applyAlignment="1">
      <alignment horizontal="right" vertical="center"/>
    </xf>
    <xf numFmtId="2" fontId="6" fillId="6" borderId="11" xfId="0" applyNumberFormat="1" applyFont="1" applyFill="1" applyBorder="1" applyAlignment="1">
      <alignment vertical="center"/>
    </xf>
    <xf numFmtId="3" fontId="6" fillId="6" borderId="11" xfId="0" applyNumberFormat="1" applyFont="1" applyFill="1" applyBorder="1" applyAlignment="1">
      <alignment horizontal="right" vertical="center"/>
    </xf>
    <xf numFmtId="4" fontId="6" fillId="6" borderId="11" xfId="0" applyNumberFormat="1" applyFont="1" applyFill="1" applyBorder="1" applyAlignment="1">
      <alignment horizontal="right" vertical="center"/>
    </xf>
    <xf numFmtId="164" fontId="11" fillId="0" borderId="0" xfId="0" applyNumberFormat="1" applyFont="1" applyBorder="1" applyAlignment="1">
      <alignment vertical="center"/>
    </xf>
    <xf numFmtId="3" fontId="11" fillId="0" borderId="0" xfId="0" applyNumberFormat="1" applyFont="1" applyBorder="1" applyAlignment="1">
      <alignment vertical="center"/>
    </xf>
    <xf numFmtId="3" fontId="11" fillId="0" borderId="0" xfId="0" applyNumberFormat="1" applyFont="1" applyBorder="1" applyAlignment="1">
      <alignment horizontal="right" vertical="center"/>
    </xf>
    <xf numFmtId="4" fontId="11" fillId="0" borderId="0" xfId="0" applyNumberFormat="1" applyFont="1" applyBorder="1" applyAlignment="1">
      <alignment horizontal="right" vertical="center"/>
    </xf>
    <xf numFmtId="2" fontId="11" fillId="0" borderId="11" xfId="0" applyNumberFormat="1" applyFont="1" applyBorder="1" applyAlignment="1">
      <alignment vertical="center" wrapText="1"/>
    </xf>
    <xf numFmtId="3" fontId="11" fillId="0" borderId="7" xfId="0" applyNumberFormat="1" applyFont="1" applyBorder="1" applyAlignment="1">
      <alignment vertical="center"/>
    </xf>
    <xf numFmtId="3" fontId="11" fillId="0" borderId="7" xfId="0" applyNumberFormat="1" applyFont="1" applyBorder="1" applyAlignment="1">
      <alignment horizontal="right" vertical="center"/>
    </xf>
    <xf numFmtId="164" fontId="11" fillId="0" borderId="7" xfId="0" applyNumberFormat="1" applyFont="1" applyBorder="1" applyAlignment="1">
      <alignment vertical="center"/>
    </xf>
    <xf numFmtId="4" fontId="6" fillId="0" borderId="0" xfId="0" applyNumberFormat="1" applyFont="1" applyAlignment="1">
      <alignment horizontal="right" vertical="center"/>
    </xf>
    <xf numFmtId="0" fontId="9" fillId="6" borderId="2" xfId="0" applyFont="1" applyFill="1" applyBorder="1" applyAlignment="1"/>
    <xf numFmtId="2" fontId="6" fillId="6" borderId="4" xfId="0" applyNumberFormat="1" applyFont="1" applyFill="1" applyBorder="1" applyAlignment="1">
      <alignment vertical="center" wrapText="1"/>
    </xf>
    <xf numFmtId="2" fontId="14" fillId="0" borderId="0" xfId="0" applyNumberFormat="1" applyFont="1" applyAlignment="1">
      <alignment horizontal="right" vertical="center"/>
    </xf>
    <xf numFmtId="2" fontId="11" fillId="6" borderId="4" xfId="0" applyNumberFormat="1" applyFont="1" applyFill="1" applyBorder="1" applyAlignment="1">
      <alignment vertical="center" wrapText="1"/>
    </xf>
    <xf numFmtId="3" fontId="11" fillId="6" borderId="4" xfId="0" applyNumberFormat="1" applyFont="1" applyFill="1" applyBorder="1" applyAlignment="1">
      <alignment horizontal="right" vertical="center"/>
    </xf>
    <xf numFmtId="2" fontId="6" fillId="6" borderId="1" xfId="0" applyNumberFormat="1" applyFont="1" applyFill="1" applyBorder="1" applyAlignment="1">
      <alignment vertical="center"/>
    </xf>
    <xf numFmtId="164" fontId="15" fillId="0" borderId="2" xfId="0" applyNumberFormat="1" applyFont="1" applyBorder="1" applyAlignment="1">
      <alignment vertical="center"/>
    </xf>
    <xf numFmtId="3" fontId="15" fillId="0" borderId="2" xfId="0" applyNumberFormat="1" applyFont="1" applyBorder="1" applyAlignment="1">
      <alignment vertical="center"/>
    </xf>
    <xf numFmtId="4" fontId="16" fillId="0" borderId="0" xfId="0" applyNumberFormat="1" applyFont="1" applyAlignment="1">
      <alignment horizontal="right" vertical="center"/>
    </xf>
    <xf numFmtId="2" fontId="11" fillId="0" borderId="10" xfId="0" applyNumberFormat="1" applyFont="1" applyBorder="1" applyAlignment="1">
      <alignment vertical="center" wrapText="1"/>
    </xf>
    <xf numFmtId="3" fontId="11" fillId="0" borderId="10" xfId="0" applyNumberFormat="1" applyFont="1" applyFill="1" applyBorder="1" applyAlignment="1">
      <alignment horizontal="right" vertical="center"/>
    </xf>
    <xf numFmtId="4" fontId="6" fillId="0" borderId="10" xfId="0" applyNumberFormat="1" applyFont="1" applyFill="1" applyBorder="1" applyAlignment="1">
      <alignment horizontal="right" vertical="center"/>
    </xf>
    <xf numFmtId="2" fontId="6" fillId="6" borderId="11" xfId="0" applyNumberFormat="1" applyFont="1" applyFill="1" applyBorder="1" applyAlignment="1">
      <alignment vertical="center" wrapText="1"/>
    </xf>
    <xf numFmtId="0" fontId="11" fillId="0" borderId="0" xfId="0" applyFont="1" applyBorder="1" applyAlignment="1"/>
    <xf numFmtId="3" fontId="11" fillId="0" borderId="0" xfId="0" applyNumberFormat="1" applyFont="1" applyBorder="1" applyAlignment="1"/>
    <xf numFmtId="4" fontId="11" fillId="0" borderId="0" xfId="0" applyNumberFormat="1" applyFont="1" applyBorder="1" applyAlignment="1"/>
    <xf numFmtId="2" fontId="6" fillId="6" borderId="16" xfId="0" applyNumberFormat="1" applyFont="1" applyFill="1" applyBorder="1" applyAlignment="1">
      <alignment vertical="center"/>
    </xf>
    <xf numFmtId="0" fontId="9" fillId="6" borderId="7" xfId="0" applyFont="1" applyFill="1" applyBorder="1" applyAlignment="1"/>
    <xf numFmtId="2" fontId="6" fillId="3" borderId="1" xfId="0" applyNumberFormat="1" applyFont="1" applyFill="1" applyBorder="1" applyAlignment="1">
      <alignment vertical="center"/>
    </xf>
    <xf numFmtId="2" fontId="6" fillId="6" borderId="4" xfId="0" applyNumberFormat="1" applyFont="1" applyFill="1" applyBorder="1" applyAlignment="1">
      <alignment horizontal="left" vertical="center" wrapText="1"/>
    </xf>
    <xf numFmtId="3" fontId="6" fillId="6" borderId="2" xfId="0" applyNumberFormat="1" applyFont="1" applyFill="1" applyBorder="1" applyAlignment="1">
      <alignment vertical="center"/>
    </xf>
    <xf numFmtId="4" fontId="6" fillId="6" borderId="3" xfId="0" applyNumberFormat="1" applyFont="1" applyFill="1" applyBorder="1" applyAlignment="1">
      <alignment vertical="center"/>
    </xf>
    <xf numFmtId="1" fontId="10" fillId="0" borderId="0" xfId="0" applyNumberFormat="1" applyFont="1" applyAlignment="1">
      <alignment horizontal="right" vertical="center"/>
    </xf>
    <xf numFmtId="2" fontId="11" fillId="0" borderId="1" xfId="0" applyNumberFormat="1" applyFont="1" applyBorder="1" applyAlignment="1">
      <alignment vertical="center"/>
    </xf>
    <xf numFmtId="4" fontId="6" fillId="0" borderId="3" xfId="0" applyNumberFormat="1" applyFont="1" applyFill="1" applyBorder="1" applyAlignment="1">
      <alignment horizontal="right" vertical="center"/>
    </xf>
    <xf numFmtId="0" fontId="11" fillId="0" borderId="0" xfId="0" applyFont="1" applyAlignment="1"/>
    <xf numFmtId="3" fontId="11" fillId="10" borderId="4" xfId="0" applyNumberFormat="1" applyFont="1" applyFill="1" applyBorder="1" applyAlignment="1">
      <alignment horizontal="right" vertical="center"/>
    </xf>
    <xf numFmtId="2" fontId="6" fillId="0" borderId="2" xfId="0" applyNumberFormat="1" applyFont="1" applyBorder="1" applyAlignment="1">
      <alignment vertical="center"/>
    </xf>
    <xf numFmtId="3" fontId="6" fillId="0" borderId="2" xfId="0" applyNumberFormat="1" applyFont="1" applyBorder="1" applyAlignment="1">
      <alignment horizontal="right" vertical="center"/>
    </xf>
    <xf numFmtId="4" fontId="6" fillId="0" borderId="2" xfId="0" applyNumberFormat="1" applyFont="1" applyBorder="1" applyAlignment="1">
      <alignment horizontal="right" vertical="center"/>
    </xf>
    <xf numFmtId="2" fontId="6" fillId="0" borderId="4" xfId="0" applyNumberFormat="1" applyFont="1" applyBorder="1" applyAlignment="1">
      <alignment vertical="center" wrapText="1"/>
    </xf>
    <xf numFmtId="3" fontId="6" fillId="0" borderId="4" xfId="0" applyNumberFormat="1" applyFont="1" applyFill="1" applyBorder="1" applyAlignment="1">
      <alignment horizontal="right" vertical="center"/>
    </xf>
    <xf numFmtId="2" fontId="17" fillId="0" borderId="7" xfId="0" applyNumberFormat="1" applyFont="1" applyBorder="1" applyAlignment="1">
      <alignment vertical="center"/>
    </xf>
    <xf numFmtId="3" fontId="17" fillId="0" borderId="7" xfId="0" applyNumberFormat="1" applyFont="1" applyBorder="1" applyAlignment="1">
      <alignment vertical="center"/>
    </xf>
    <xf numFmtId="3" fontId="17" fillId="0" borderId="7" xfId="0" applyNumberFormat="1" applyFont="1" applyBorder="1" applyAlignment="1">
      <alignment horizontal="right" vertical="center"/>
    </xf>
    <xf numFmtId="2" fontId="6" fillId="0" borderId="4" xfId="0" applyNumberFormat="1" applyFont="1" applyBorder="1" applyAlignment="1">
      <alignment vertical="center"/>
    </xf>
    <xf numFmtId="2" fontId="12" fillId="5" borderId="1" xfId="0" applyNumberFormat="1" applyFont="1" applyFill="1" applyBorder="1" applyAlignment="1">
      <alignment horizontal="left" vertical="center"/>
    </xf>
    <xf numFmtId="3" fontId="9" fillId="6" borderId="2" xfId="0" applyNumberFormat="1" applyFont="1" applyFill="1" applyBorder="1"/>
    <xf numFmtId="4" fontId="9" fillId="6" borderId="3" xfId="0" applyNumberFormat="1" applyFont="1" applyFill="1" applyBorder="1"/>
    <xf numFmtId="164" fontId="11" fillId="0" borderId="2" xfId="0" applyNumberFormat="1" applyFont="1" applyBorder="1" applyAlignment="1">
      <alignment vertical="center" wrapText="1"/>
    </xf>
    <xf numFmtId="4" fontId="6" fillId="0" borderId="12" xfId="0" applyNumberFormat="1" applyFont="1" applyBorder="1" applyAlignment="1">
      <alignment horizontal="right" vertical="center"/>
    </xf>
    <xf numFmtId="0" fontId="7" fillId="0" borderId="0" xfId="0" applyFont="1" applyAlignment="1">
      <alignment horizontal="right" vertical="center"/>
    </xf>
    <xf numFmtId="164" fontId="11" fillId="0" borderId="13" xfId="0" applyNumberFormat="1" applyFont="1" applyBorder="1" applyAlignment="1">
      <alignment vertical="center" wrapText="1"/>
    </xf>
    <xf numFmtId="3" fontId="11" fillId="0" borderId="14" xfId="0" applyNumberFormat="1" applyFont="1" applyBorder="1" applyAlignment="1">
      <alignment vertical="center"/>
    </xf>
    <xf numFmtId="3" fontId="11" fillId="0" borderId="14" xfId="0" applyNumberFormat="1" applyFont="1" applyBorder="1" applyAlignment="1">
      <alignment horizontal="right" vertical="center"/>
    </xf>
    <xf numFmtId="2" fontId="6" fillId="6" borderId="1" xfId="0" applyNumberFormat="1" applyFont="1" applyFill="1" applyBorder="1" applyAlignment="1">
      <alignment horizontal="left" vertical="center"/>
    </xf>
    <xf numFmtId="3" fontId="11" fillId="0" borderId="0" xfId="0" applyNumberFormat="1" applyFont="1" applyAlignment="1"/>
    <xf numFmtId="4" fontId="11" fillId="0" borderId="0" xfId="0" applyNumberFormat="1" applyFont="1" applyAlignment="1"/>
    <xf numFmtId="4" fontId="6" fillId="2" borderId="0" xfId="0" applyNumberFormat="1" applyFont="1" applyFill="1" applyBorder="1" applyAlignment="1">
      <alignment horizontal="right" vertical="center"/>
    </xf>
    <xf numFmtId="2" fontId="11" fillId="0" borderId="4" xfId="0" applyNumberFormat="1" applyFont="1" applyFill="1" applyBorder="1" applyAlignment="1">
      <alignment vertical="center" wrapText="1"/>
    </xf>
    <xf numFmtId="2" fontId="18" fillId="0" borderId="0" xfId="0" applyNumberFormat="1" applyFont="1" applyAlignment="1">
      <alignment horizontal="right" vertical="center"/>
    </xf>
    <xf numFmtId="2" fontId="10" fillId="0" borderId="0" xfId="0" applyNumberFormat="1" applyFont="1" applyAlignment="1">
      <alignment vertical="center"/>
    </xf>
    <xf numFmtId="2" fontId="19" fillId="0" borderId="0" xfId="0" applyNumberFormat="1" applyFont="1" applyAlignment="1">
      <alignment horizontal="right" vertical="center"/>
    </xf>
    <xf numFmtId="3" fontId="6" fillId="6" borderId="2" xfId="0" applyNumberFormat="1" applyFont="1" applyFill="1" applyBorder="1" applyAlignment="1">
      <alignment horizontal="left" vertical="center"/>
    </xf>
    <xf numFmtId="4" fontId="6" fillId="6" borderId="3" xfId="0" applyNumberFormat="1" applyFont="1" applyFill="1" applyBorder="1" applyAlignment="1">
      <alignment horizontal="left" vertical="center"/>
    </xf>
    <xf numFmtId="2" fontId="11" fillId="0" borderId="5" xfId="0" applyNumberFormat="1" applyFont="1" applyBorder="1" applyAlignment="1">
      <alignment vertical="center" wrapText="1"/>
    </xf>
    <xf numFmtId="4" fontId="6" fillId="0" borderId="5" xfId="0" applyNumberFormat="1" applyFont="1" applyFill="1" applyBorder="1" applyAlignment="1">
      <alignment horizontal="right" vertical="center"/>
    </xf>
    <xf numFmtId="2" fontId="6" fillId="6" borderId="5" xfId="0" applyNumberFormat="1" applyFont="1" applyFill="1" applyBorder="1" applyAlignment="1">
      <alignment vertical="center" wrapText="1"/>
    </xf>
    <xf numFmtId="3" fontId="6" fillId="6" borderId="5" xfId="0" applyNumberFormat="1" applyFont="1" applyFill="1" applyBorder="1" applyAlignment="1">
      <alignment horizontal="right" vertical="center"/>
    </xf>
    <xf numFmtId="4" fontId="6" fillId="6" borderId="5" xfId="0" applyNumberFormat="1" applyFont="1" applyFill="1" applyBorder="1" applyAlignment="1">
      <alignment horizontal="right" vertical="center"/>
    </xf>
    <xf numFmtId="2" fontId="11" fillId="0" borderId="2" xfId="0" applyNumberFormat="1" applyFont="1" applyBorder="1" applyAlignment="1">
      <alignment vertical="center"/>
    </xf>
    <xf numFmtId="0" fontId="11" fillId="0" borderId="4" xfId="0" applyFont="1" applyBorder="1" applyAlignment="1">
      <alignment vertical="center" wrapText="1"/>
    </xf>
    <xf numFmtId="2" fontId="6" fillId="0" borderId="11" xfId="0" applyNumberFormat="1" applyFont="1" applyBorder="1" applyAlignment="1">
      <alignment vertical="center" wrapText="1"/>
    </xf>
    <xf numFmtId="3" fontId="6" fillId="0" borderId="11" xfId="0" applyNumberFormat="1" applyFont="1" applyFill="1" applyBorder="1" applyAlignment="1">
      <alignment horizontal="right" vertical="center"/>
    </xf>
    <xf numFmtId="2" fontId="7" fillId="0" borderId="0" xfId="0" applyNumberFormat="1" applyFont="1" applyAlignment="1">
      <alignment vertical="center"/>
    </xf>
    <xf numFmtId="2" fontId="6" fillId="0" borderId="11" xfId="0" applyNumberFormat="1" applyFont="1" applyBorder="1" applyAlignment="1">
      <alignment horizontal="left" vertical="center" wrapText="1"/>
    </xf>
    <xf numFmtId="0" fontId="7" fillId="0" borderId="0" xfId="0" applyFont="1" applyAlignment="1">
      <alignment vertical="center"/>
    </xf>
    <xf numFmtId="164" fontId="7" fillId="0" borderId="0" xfId="0" applyNumberFormat="1" applyFont="1" applyFill="1" applyBorder="1" applyAlignment="1">
      <alignment horizontal="right" vertical="center"/>
    </xf>
    <xf numFmtId="2" fontId="6" fillId="0" borderId="0" xfId="0" applyNumberFormat="1" applyFont="1" applyBorder="1" applyAlignment="1">
      <alignment vertical="center" wrapText="1"/>
    </xf>
    <xf numFmtId="3" fontId="6" fillId="0" borderId="0" xfId="0" applyNumberFormat="1" applyFont="1" applyFill="1" applyBorder="1" applyAlignment="1">
      <alignment horizontal="right" vertical="center"/>
    </xf>
    <xf numFmtId="4" fontId="6" fillId="0" borderId="0" xfId="0" applyNumberFormat="1" applyFont="1" applyFill="1" applyBorder="1" applyAlignment="1">
      <alignment horizontal="right" vertical="center"/>
    </xf>
    <xf numFmtId="0" fontId="7" fillId="0" borderId="0" xfId="0" applyFont="1" applyBorder="1" applyAlignment="1">
      <alignment horizontal="right" vertical="center"/>
    </xf>
    <xf numFmtId="0" fontId="8" fillId="0" borderId="0" xfId="0" applyFont="1" applyBorder="1" applyAlignment="1"/>
    <xf numFmtId="165" fontId="6" fillId="6" borderId="4" xfId="0" applyNumberFormat="1" applyFont="1" applyFill="1" applyBorder="1" applyAlignment="1">
      <alignment horizontal="right" vertical="center"/>
    </xf>
    <xf numFmtId="4" fontId="11" fillId="0" borderId="4" xfId="0" applyNumberFormat="1" applyFont="1" applyFill="1" applyBorder="1" applyAlignment="1">
      <alignment horizontal="right" vertical="center"/>
    </xf>
    <xf numFmtId="165" fontId="6" fillId="4" borderId="11" xfId="0" applyNumberFormat="1" applyFont="1" applyFill="1" applyBorder="1" applyAlignment="1">
      <alignment horizontal="center" vertical="center"/>
    </xf>
    <xf numFmtId="165" fontId="11" fillId="2" borderId="2" xfId="0" applyNumberFormat="1" applyFont="1" applyFill="1" applyBorder="1" applyAlignment="1">
      <alignment vertical="center"/>
    </xf>
    <xf numFmtId="165" fontId="9" fillId="6" borderId="2" xfId="0" applyNumberFormat="1" applyFont="1" applyFill="1" applyBorder="1" applyAlignment="1"/>
    <xf numFmtId="165" fontId="6" fillId="0" borderId="4" xfId="0" applyNumberFormat="1" applyFont="1" applyFill="1" applyBorder="1" applyAlignment="1">
      <alignment horizontal="right" vertical="center"/>
    </xf>
    <xf numFmtId="165" fontId="11" fillId="0" borderId="2" xfId="0" applyNumberFormat="1" applyFont="1" applyBorder="1" applyAlignment="1">
      <alignment horizontal="right" vertical="center"/>
    </xf>
    <xf numFmtId="165" fontId="12" fillId="5" borderId="2" xfId="0" applyNumberFormat="1" applyFont="1" applyFill="1" applyBorder="1" applyAlignment="1">
      <alignment vertical="center"/>
    </xf>
    <xf numFmtId="165" fontId="11" fillId="0" borderId="6" xfId="0" applyNumberFormat="1" applyFont="1" applyBorder="1" applyAlignment="1">
      <alignment horizontal="right" vertical="center"/>
    </xf>
    <xf numFmtId="165" fontId="11" fillId="0" borderId="2" xfId="0" applyNumberFormat="1" applyFont="1" applyFill="1" applyBorder="1" applyAlignment="1">
      <alignment horizontal="right" vertical="center"/>
    </xf>
    <xf numFmtId="165" fontId="6" fillId="0" borderId="11" xfId="0" applyNumberFormat="1" applyFont="1" applyFill="1" applyBorder="1" applyAlignment="1">
      <alignment horizontal="right" vertical="center"/>
    </xf>
    <xf numFmtId="165" fontId="6" fillId="6" borderId="11" xfId="0" applyNumberFormat="1" applyFont="1" applyFill="1" applyBorder="1" applyAlignment="1">
      <alignment horizontal="right" vertical="center"/>
    </xf>
    <xf numFmtId="165" fontId="11" fillId="0" borderId="0" xfId="0" applyNumberFormat="1" applyFont="1" applyBorder="1" applyAlignment="1">
      <alignment horizontal="right" vertical="center"/>
    </xf>
    <xf numFmtId="165" fontId="11" fillId="0" borderId="7" xfId="0" applyNumberFormat="1" applyFont="1" applyBorder="1" applyAlignment="1">
      <alignment horizontal="right" vertical="center"/>
    </xf>
    <xf numFmtId="165" fontId="15" fillId="0" borderId="2" xfId="0" applyNumberFormat="1" applyFont="1" applyBorder="1" applyAlignment="1">
      <alignment horizontal="right" vertical="center"/>
    </xf>
    <xf numFmtId="165" fontId="6" fillId="0" borderId="10" xfId="0" applyNumberFormat="1" applyFont="1" applyFill="1" applyBorder="1" applyAlignment="1">
      <alignment horizontal="right" vertical="center"/>
    </xf>
    <xf numFmtId="165" fontId="11" fillId="0" borderId="0" xfId="0" applyNumberFormat="1" applyFont="1" applyBorder="1" applyAlignment="1"/>
    <xf numFmtId="165" fontId="9" fillId="6" borderId="7" xfId="0" applyNumberFormat="1" applyFont="1" applyFill="1" applyBorder="1" applyAlignment="1"/>
    <xf numFmtId="165" fontId="6" fillId="6" borderId="2" xfId="0" applyNumberFormat="1" applyFont="1" applyFill="1" applyBorder="1" applyAlignment="1">
      <alignment vertical="center"/>
    </xf>
    <xf numFmtId="165" fontId="6" fillId="0" borderId="2" xfId="0" applyNumberFormat="1" applyFont="1" applyFill="1" applyBorder="1" applyAlignment="1">
      <alignment horizontal="right" vertical="center"/>
    </xf>
    <xf numFmtId="165" fontId="6" fillId="0" borderId="2" xfId="0" applyNumberFormat="1" applyFont="1" applyBorder="1" applyAlignment="1">
      <alignment horizontal="right" vertical="center"/>
    </xf>
    <xf numFmtId="165" fontId="17" fillId="0" borderId="7" xfId="0" applyNumberFormat="1" applyFont="1" applyBorder="1" applyAlignment="1">
      <alignment horizontal="right" vertical="center"/>
    </xf>
    <xf numFmtId="165" fontId="9" fillId="6" borderId="2" xfId="0" applyNumberFormat="1" applyFont="1" applyFill="1" applyBorder="1"/>
    <xf numFmtId="165" fontId="11" fillId="0" borderId="0" xfId="0" applyNumberFormat="1" applyFont="1" applyAlignment="1"/>
    <xf numFmtId="165" fontId="9" fillId="6" borderId="3" xfId="0" applyNumberFormat="1" applyFont="1" applyFill="1" applyBorder="1" applyAlignment="1"/>
    <xf numFmtId="165" fontId="6" fillId="6" borderId="2" xfId="0" applyNumberFormat="1" applyFont="1" applyFill="1" applyBorder="1" applyAlignment="1">
      <alignment horizontal="left" vertical="center"/>
    </xf>
    <xf numFmtId="165" fontId="6" fillId="0" borderId="5" xfId="0" applyNumberFormat="1" applyFont="1" applyFill="1" applyBorder="1" applyAlignment="1">
      <alignment horizontal="right" vertical="center"/>
    </xf>
    <xf numFmtId="165" fontId="6" fillId="0" borderId="0" xfId="0" applyNumberFormat="1" applyFont="1" applyFill="1" applyBorder="1" applyAlignment="1">
      <alignment horizontal="right" vertical="center"/>
    </xf>
    <xf numFmtId="10" fontId="11" fillId="0" borderId="11" xfId="1" applyNumberFormat="1" applyFont="1" applyFill="1" applyBorder="1" applyAlignment="1">
      <alignment horizontal="right" vertical="center"/>
    </xf>
    <xf numFmtId="10" fontId="6" fillId="6" borderId="11" xfId="1" applyNumberFormat="1" applyFont="1" applyFill="1" applyBorder="1" applyAlignment="1">
      <alignment horizontal="right" vertical="center"/>
    </xf>
    <xf numFmtId="2" fontId="11" fillId="0" borderId="18" xfId="0" applyNumberFormat="1" applyFont="1" applyBorder="1" applyAlignment="1">
      <alignment horizontal="left" vertical="center" wrapText="1"/>
    </xf>
    <xf numFmtId="10" fontId="11" fillId="0" borderId="18" xfId="1" applyNumberFormat="1" applyFont="1" applyFill="1" applyBorder="1" applyAlignment="1">
      <alignment horizontal="right" vertical="center"/>
    </xf>
    <xf numFmtId="165" fontId="6" fillId="0" borderId="18" xfId="0" applyNumberFormat="1" applyFont="1" applyFill="1" applyBorder="1" applyAlignment="1">
      <alignment horizontal="right" vertical="center"/>
    </xf>
    <xf numFmtId="2" fontId="12" fillId="5" borderId="19" xfId="0" applyNumberFormat="1" applyFont="1" applyFill="1" applyBorder="1" applyAlignment="1">
      <alignment vertical="center"/>
    </xf>
    <xf numFmtId="3" fontId="9" fillId="6" borderId="20" xfId="0" applyNumberFormat="1" applyFont="1" applyFill="1" applyBorder="1" applyAlignment="1"/>
    <xf numFmtId="165" fontId="9" fillId="6" borderId="20" xfId="0" applyNumberFormat="1" applyFont="1" applyFill="1" applyBorder="1" applyAlignment="1"/>
    <xf numFmtId="4" fontId="9" fillId="6" borderId="21" xfId="0" applyNumberFormat="1" applyFont="1" applyFill="1" applyBorder="1" applyAlignment="1"/>
    <xf numFmtId="2" fontId="12" fillId="4" borderId="19" xfId="0" applyNumberFormat="1" applyFont="1" applyFill="1" applyBorder="1" applyAlignment="1">
      <alignment vertical="center"/>
    </xf>
    <xf numFmtId="3" fontId="9" fillId="9" borderId="20" xfId="0" applyNumberFormat="1" applyFont="1" applyFill="1" applyBorder="1" applyAlignment="1"/>
    <xf numFmtId="165" fontId="9" fillId="9" borderId="20" xfId="0" applyNumberFormat="1" applyFont="1" applyFill="1" applyBorder="1" applyAlignment="1"/>
    <xf numFmtId="4" fontId="9" fillId="9" borderId="21" xfId="0" applyNumberFormat="1" applyFont="1" applyFill="1" applyBorder="1" applyAlignment="1"/>
    <xf numFmtId="4" fontId="6" fillId="6" borderId="4" xfId="1" applyNumberFormat="1" applyFont="1" applyFill="1" applyBorder="1" applyAlignment="1">
      <alignment horizontal="right" vertical="center"/>
    </xf>
    <xf numFmtId="10" fontId="11" fillId="0" borderId="4" xfId="1" applyNumberFormat="1" applyFont="1" applyFill="1" applyBorder="1" applyAlignment="1">
      <alignment horizontal="right" vertical="center"/>
    </xf>
    <xf numFmtId="10" fontId="6" fillId="6" borderId="4" xfId="1" applyNumberFormat="1" applyFont="1" applyFill="1" applyBorder="1" applyAlignment="1">
      <alignment horizontal="right" vertical="center"/>
    </xf>
    <xf numFmtId="2" fontId="12" fillId="5" borderId="20" xfId="0" applyNumberFormat="1" applyFont="1" applyFill="1" applyBorder="1" applyAlignment="1">
      <alignment vertical="center"/>
    </xf>
    <xf numFmtId="2" fontId="6" fillId="0" borderId="19" xfId="0" applyNumberFormat="1" applyFont="1" applyBorder="1" applyAlignment="1">
      <alignment vertical="center"/>
    </xf>
    <xf numFmtId="0" fontId="9" fillId="0" borderId="20" xfId="0" applyFont="1" applyBorder="1" applyAlignment="1"/>
    <xf numFmtId="165" fontId="9" fillId="0" borderId="20" xfId="0" applyNumberFormat="1" applyFont="1" applyBorder="1" applyAlignment="1"/>
    <xf numFmtId="0" fontId="9" fillId="6" borderId="20" xfId="0" applyFont="1" applyFill="1" applyBorder="1" applyAlignment="1"/>
    <xf numFmtId="165" fontId="6" fillId="0" borderId="3" xfId="0" applyNumberFormat="1" applyFont="1" applyFill="1" applyBorder="1" applyAlignment="1">
      <alignment horizontal="right" vertical="center"/>
    </xf>
    <xf numFmtId="3" fontId="6" fillId="6" borderId="6" xfId="0" applyNumberFormat="1" applyFont="1" applyFill="1" applyBorder="1" applyAlignment="1">
      <alignment vertical="center"/>
    </xf>
    <xf numFmtId="2" fontId="11" fillId="0" borderId="10" xfId="0" applyNumberFormat="1" applyFont="1" applyBorder="1" applyAlignment="1">
      <alignment horizontal="left" vertical="center" wrapText="1"/>
    </xf>
    <xf numFmtId="2" fontId="6" fillId="0" borderId="7" xfId="0" applyNumberFormat="1" applyFont="1" applyBorder="1" applyAlignment="1">
      <alignment vertical="center"/>
    </xf>
    <xf numFmtId="2" fontId="6" fillId="6" borderId="11" xfId="0" applyNumberFormat="1" applyFont="1" applyFill="1" applyBorder="1" applyAlignment="1">
      <alignment horizontal="left" vertical="center" wrapText="1"/>
    </xf>
    <xf numFmtId="2" fontId="6" fillId="6" borderId="19" xfId="0" applyNumberFormat="1" applyFont="1" applyFill="1" applyBorder="1" applyAlignment="1">
      <alignment vertical="center"/>
    </xf>
    <xf numFmtId="2" fontId="6" fillId="6" borderId="20" xfId="0" applyNumberFormat="1" applyFont="1" applyFill="1" applyBorder="1" applyAlignment="1">
      <alignment vertical="center"/>
    </xf>
    <xf numFmtId="2" fontId="6" fillId="6" borderId="17" xfId="0" applyNumberFormat="1" applyFont="1" applyFill="1" applyBorder="1" applyAlignment="1">
      <alignment vertical="center"/>
    </xf>
    <xf numFmtId="165" fontId="6" fillId="6" borderId="6" xfId="0" applyNumberFormat="1" applyFont="1" applyFill="1" applyBorder="1" applyAlignment="1">
      <alignment vertical="center"/>
    </xf>
    <xf numFmtId="4" fontId="6" fillId="6" borderId="8" xfId="0" applyNumberFormat="1" applyFont="1" applyFill="1" applyBorder="1" applyAlignment="1">
      <alignment vertical="center"/>
    </xf>
    <xf numFmtId="2" fontId="6" fillId="10" borderId="2" xfId="0" applyNumberFormat="1" applyFont="1" applyFill="1" applyBorder="1" applyAlignment="1">
      <alignment vertical="center"/>
    </xf>
    <xf numFmtId="4" fontId="6" fillId="10" borderId="2" xfId="0" applyNumberFormat="1" applyFont="1" applyFill="1" applyBorder="1" applyAlignment="1">
      <alignment horizontal="right" vertical="center"/>
    </xf>
    <xf numFmtId="3" fontId="6" fillId="10" borderId="2" xfId="0" applyNumberFormat="1" applyFont="1" applyFill="1" applyBorder="1" applyAlignment="1">
      <alignment horizontal="right" vertical="center"/>
    </xf>
    <xf numFmtId="165" fontId="6" fillId="10" borderId="2" xfId="0" applyNumberFormat="1" applyFont="1" applyFill="1" applyBorder="1" applyAlignment="1">
      <alignment horizontal="right" vertical="center"/>
    </xf>
    <xf numFmtId="0" fontId="8" fillId="10" borderId="0" xfId="0" applyFont="1" applyFill="1" applyAlignment="1"/>
    <xf numFmtId="10" fontId="6" fillId="0" borderId="18" xfId="1" applyNumberFormat="1" applyFont="1" applyFill="1" applyBorder="1" applyAlignment="1">
      <alignment horizontal="right" vertical="center"/>
    </xf>
    <xf numFmtId="10" fontId="6" fillId="0" borderId="4" xfId="1" applyNumberFormat="1" applyFont="1" applyFill="1" applyBorder="1" applyAlignment="1">
      <alignment horizontal="right" vertical="center"/>
    </xf>
    <xf numFmtId="2" fontId="6" fillId="0" borderId="11" xfId="1" applyNumberFormat="1" applyFont="1" applyFill="1" applyBorder="1" applyAlignment="1">
      <alignment horizontal="right" vertical="center"/>
    </xf>
    <xf numFmtId="10" fontId="6" fillId="0" borderId="11" xfId="1" applyNumberFormat="1" applyFont="1" applyFill="1" applyBorder="1" applyAlignment="1">
      <alignment horizontal="right" vertical="center"/>
    </xf>
    <xf numFmtId="0" fontId="0" fillId="7" borderId="25" xfId="0" applyFont="1" applyFill="1" applyBorder="1" applyAlignment="1"/>
    <xf numFmtId="0" fontId="0" fillId="7" borderId="26" xfId="0" applyFont="1" applyFill="1" applyBorder="1" applyAlignment="1"/>
    <xf numFmtId="0" fontId="0" fillId="7" borderId="27" xfId="0" applyFont="1" applyFill="1" applyBorder="1" applyAlignment="1"/>
    <xf numFmtId="0" fontId="0" fillId="7" borderId="28" xfId="0" applyFont="1" applyFill="1" applyBorder="1" applyAlignment="1"/>
    <xf numFmtId="0" fontId="0" fillId="7" borderId="0" xfId="0" applyFont="1" applyFill="1" applyBorder="1" applyAlignment="1"/>
    <xf numFmtId="0" fontId="0" fillId="7" borderId="29" xfId="0" applyFont="1" applyFill="1" applyBorder="1" applyAlignment="1"/>
    <xf numFmtId="0" fontId="0" fillId="7" borderId="30" xfId="0" applyFont="1" applyFill="1" applyBorder="1" applyAlignment="1"/>
    <xf numFmtId="0" fontId="0" fillId="7" borderId="31" xfId="0" applyFont="1" applyFill="1" applyBorder="1" applyAlignment="1"/>
    <xf numFmtId="0" fontId="0" fillId="7" borderId="32" xfId="0" applyFont="1" applyFill="1" applyBorder="1" applyAlignment="1"/>
    <xf numFmtId="2" fontId="11" fillId="10" borderId="22" xfId="0" applyNumberFormat="1" applyFont="1" applyFill="1" applyBorder="1" applyAlignment="1">
      <alignment vertical="center" wrapText="1"/>
    </xf>
    <xf numFmtId="2" fontId="11" fillId="10" borderId="23" xfId="0" applyNumberFormat="1" applyFont="1" applyFill="1" applyBorder="1" applyAlignment="1">
      <alignment vertical="center" wrapText="1"/>
    </xf>
    <xf numFmtId="0" fontId="11" fillId="10" borderId="19" xfId="0" applyFont="1" applyFill="1" applyBorder="1" applyAlignment="1">
      <alignment wrapText="1"/>
    </xf>
    <xf numFmtId="2" fontId="11" fillId="10" borderId="19" xfId="0" applyNumberFormat="1" applyFont="1" applyFill="1" applyBorder="1" applyAlignment="1">
      <alignment vertical="center" wrapText="1"/>
    </xf>
    <xf numFmtId="2" fontId="11" fillId="10" borderId="24" xfId="0" applyNumberFormat="1" applyFont="1" applyFill="1" applyBorder="1" applyAlignment="1">
      <alignment vertical="center" wrapText="1"/>
    </xf>
    <xf numFmtId="2" fontId="13" fillId="10" borderId="22" xfId="0" applyNumberFormat="1" applyFont="1" applyFill="1" applyBorder="1" applyAlignment="1">
      <alignment vertical="center" wrapText="1"/>
    </xf>
    <xf numFmtId="2" fontId="11" fillId="10" borderId="15" xfId="0" applyNumberFormat="1" applyFont="1" applyFill="1" applyBorder="1" applyAlignment="1">
      <alignment vertical="center" wrapText="1"/>
    </xf>
    <xf numFmtId="2" fontId="11" fillId="10" borderId="4" xfId="0" applyNumberFormat="1" applyFont="1" applyFill="1" applyBorder="1" applyAlignment="1">
      <alignment vertical="center" wrapText="1"/>
    </xf>
    <xf numFmtId="165" fontId="6" fillId="10" borderId="4" xfId="0" applyNumberFormat="1" applyFont="1" applyFill="1" applyBorder="1" applyAlignment="1">
      <alignment horizontal="right" vertical="center"/>
    </xf>
    <xf numFmtId="4" fontId="6" fillId="10" borderId="4" xfId="0" applyNumberFormat="1" applyFont="1" applyFill="1" applyBorder="1" applyAlignment="1">
      <alignment horizontal="right" vertical="center"/>
    </xf>
    <xf numFmtId="2" fontId="7" fillId="10" borderId="0" xfId="0" applyNumberFormat="1" applyFont="1" applyFill="1" applyAlignment="1">
      <alignment horizontal="right" vertical="center"/>
    </xf>
    <xf numFmtId="166" fontId="6" fillId="10" borderId="11" xfId="2" applyNumberFormat="1" applyFont="1" applyFill="1" applyBorder="1" applyAlignment="1" applyProtection="1">
      <alignment horizontal="right" vertical="center"/>
      <protection locked="0"/>
    </xf>
    <xf numFmtId="2" fontId="10" fillId="10" borderId="0" xfId="0" applyNumberFormat="1" applyFont="1" applyFill="1" applyAlignment="1">
      <alignment horizontal="right" vertical="center"/>
    </xf>
    <xf numFmtId="2" fontId="17" fillId="10" borderId="7" xfId="0" applyNumberFormat="1" applyFont="1" applyFill="1" applyBorder="1" applyAlignment="1">
      <alignment vertical="center"/>
    </xf>
    <xf numFmtId="3" fontId="17" fillId="10" borderId="7" xfId="0" applyNumberFormat="1" applyFont="1" applyFill="1" applyBorder="1" applyAlignment="1">
      <alignment vertical="center"/>
    </xf>
    <xf numFmtId="3" fontId="17" fillId="10" borderId="7" xfId="0" applyNumberFormat="1" applyFont="1" applyFill="1" applyBorder="1" applyAlignment="1">
      <alignment horizontal="right" vertical="center"/>
    </xf>
    <xf numFmtId="165" fontId="17" fillId="10" borderId="7" xfId="0" applyNumberFormat="1" applyFont="1" applyFill="1" applyBorder="1" applyAlignment="1">
      <alignment horizontal="right" vertical="center"/>
    </xf>
    <xf numFmtId="4" fontId="11" fillId="10" borderId="0" xfId="0" applyNumberFormat="1" applyFont="1" applyFill="1" applyAlignment="1">
      <alignment horizontal="right" vertical="center"/>
    </xf>
    <xf numFmtId="0" fontId="11" fillId="10" borderId="0" xfId="0" applyFont="1" applyFill="1" applyAlignment="1"/>
    <xf numFmtId="3" fontId="11" fillId="10" borderId="0" xfId="0" applyNumberFormat="1" applyFont="1" applyFill="1" applyAlignment="1"/>
    <xf numFmtId="165" fontId="11" fillId="10" borderId="0" xfId="0" applyNumberFormat="1" applyFont="1" applyFill="1" applyAlignment="1"/>
    <xf numFmtId="4" fontId="11" fillId="10" borderId="0" xfId="0" applyNumberFormat="1" applyFont="1" applyFill="1" applyAlignment="1"/>
    <xf numFmtId="0" fontId="7" fillId="10" borderId="0" xfId="0" applyFont="1" applyFill="1" applyAlignment="1">
      <alignment horizontal="right" vertical="center"/>
    </xf>
    <xf numFmtId="2" fontId="20" fillId="8" borderId="17" xfId="0" applyNumberFormat="1" applyFont="1" applyFill="1" applyBorder="1" applyAlignment="1">
      <alignment horizontal="left" vertical="center"/>
    </xf>
    <xf numFmtId="2" fontId="11" fillId="0" borderId="33" xfId="0" applyNumberFormat="1" applyFont="1" applyBorder="1" applyAlignment="1">
      <alignment horizontal="left" vertical="center" wrapText="1"/>
    </xf>
    <xf numFmtId="2" fontId="11" fillId="0" borderId="19" xfId="0" applyNumberFormat="1" applyFont="1" applyBorder="1" applyAlignment="1">
      <alignment horizontal="left" vertical="center" wrapText="1"/>
    </xf>
    <xf numFmtId="3" fontId="20" fillId="8" borderId="34" xfId="0" applyNumberFormat="1" applyFont="1" applyFill="1" applyBorder="1" applyAlignment="1">
      <alignment horizontal="center" vertical="center"/>
    </xf>
    <xf numFmtId="3" fontId="20" fillId="8" borderId="35" xfId="0" applyNumberFormat="1" applyFont="1" applyFill="1" applyBorder="1" applyAlignment="1">
      <alignment horizontal="center" vertical="center"/>
    </xf>
    <xf numFmtId="3" fontId="20" fillId="8" borderId="36" xfId="0" applyNumberFormat="1" applyFont="1" applyFill="1" applyBorder="1" applyAlignment="1">
      <alignment horizontal="center" vertical="center"/>
    </xf>
    <xf numFmtId="0" fontId="0" fillId="0" borderId="0" xfId="0" applyFont="1" applyBorder="1" applyAlignment="1"/>
    <xf numFmtId="0" fontId="0" fillId="0" borderId="0" xfId="0"/>
    <xf numFmtId="0" fontId="11" fillId="0" borderId="0" xfId="0" applyFont="1" applyBorder="1"/>
    <xf numFmtId="0" fontId="23" fillId="0" borderId="0" xfId="0" applyFont="1" applyAlignment="1"/>
    <xf numFmtId="0" fontId="23" fillId="0" borderId="0" xfId="0" applyFont="1" applyBorder="1" applyAlignment="1"/>
    <xf numFmtId="10" fontId="6" fillId="9" borderId="4" xfId="1" applyNumberFormat="1" applyFont="1" applyFill="1" applyBorder="1" applyAlignment="1">
      <alignment horizontal="right" vertical="center"/>
    </xf>
    <xf numFmtId="2" fontId="6" fillId="9" borderId="4" xfId="0" applyNumberFormat="1" applyFont="1" applyFill="1" applyBorder="1" applyAlignment="1">
      <alignment vertical="center"/>
    </xf>
    <xf numFmtId="0" fontId="8" fillId="0" borderId="0" xfId="0" applyFont="1" applyAlignment="1">
      <alignment vertical="center"/>
    </xf>
    <xf numFmtId="3" fontId="11" fillId="0" borderId="11" xfId="0" applyNumberFormat="1" applyFont="1" applyBorder="1"/>
    <xf numFmtId="3" fontId="11" fillId="0" borderId="0" xfId="0" applyNumberFormat="1" applyFont="1" applyBorder="1"/>
    <xf numFmtId="165" fontId="11" fillId="0" borderId="0" xfId="0" applyNumberFormat="1" applyFont="1" applyBorder="1"/>
    <xf numFmtId="2" fontId="12" fillId="6" borderId="11" xfId="0" applyNumberFormat="1" applyFont="1" applyFill="1" applyBorder="1" applyAlignment="1">
      <alignment vertical="center"/>
    </xf>
    <xf numFmtId="4" fontId="12" fillId="5" borderId="21" xfId="0" applyNumberFormat="1" applyFont="1" applyFill="1" applyBorder="1" applyAlignment="1">
      <alignment vertical="center"/>
    </xf>
    <xf numFmtId="4" fontId="9" fillId="6" borderId="9" xfId="0" applyNumberFormat="1" applyFont="1" applyFill="1" applyBorder="1" applyAlignment="1"/>
    <xf numFmtId="4" fontId="9" fillId="0" borderId="21" xfId="0" applyNumberFormat="1" applyFont="1" applyBorder="1" applyAlignment="1"/>
    <xf numFmtId="4" fontId="6" fillId="6" borderId="21" xfId="0" applyNumberFormat="1" applyFont="1" applyFill="1" applyBorder="1" applyAlignment="1">
      <alignment vertical="center"/>
    </xf>
    <xf numFmtId="4" fontId="15" fillId="0" borderId="0" xfId="0" applyNumberFormat="1" applyFont="1" applyAlignment="1">
      <alignment horizontal="right" vertical="center"/>
    </xf>
    <xf numFmtId="2" fontId="24" fillId="0" borderId="0" xfId="0" applyNumberFormat="1" applyFont="1" applyAlignment="1">
      <alignment horizontal="right" vertical="center"/>
    </xf>
    <xf numFmtId="0" fontId="25" fillId="0" borderId="0" xfId="0" applyFont="1" applyAlignment="1"/>
    <xf numFmtId="2" fontId="26" fillId="0" borderId="0" xfId="0" applyNumberFormat="1" applyFont="1" applyAlignment="1">
      <alignment horizontal="right" vertical="center"/>
    </xf>
    <xf numFmtId="2" fontId="11" fillId="10" borderId="4" xfId="0" applyNumberFormat="1" applyFont="1" applyFill="1" applyBorder="1" applyAlignment="1">
      <alignment vertical="center"/>
    </xf>
    <xf numFmtId="10" fontId="11" fillId="0" borderId="0" xfId="1" applyNumberFormat="1" applyFont="1" applyAlignment="1">
      <alignment horizontal="right" vertical="center"/>
    </xf>
    <xf numFmtId="0" fontId="29" fillId="0" borderId="0" xfId="0" applyFont="1" applyAlignment="1">
      <alignment horizontal="right"/>
    </xf>
    <xf numFmtId="0" fontId="27" fillId="0" borderId="0" xfId="0" applyFont="1" applyAlignment="1"/>
    <xf numFmtId="0" fontId="29" fillId="0" borderId="50" xfId="0" applyFont="1" applyBorder="1" applyAlignment="1">
      <alignment horizontal="right"/>
    </xf>
    <xf numFmtId="0" fontId="29" fillId="0" borderId="49" xfId="0" applyFont="1" applyBorder="1" applyAlignment="1">
      <alignment horizontal="right"/>
    </xf>
    <xf numFmtId="0" fontId="0" fillId="0" borderId="53" xfId="0" applyFont="1" applyBorder="1" applyAlignment="1"/>
    <xf numFmtId="0" fontId="29" fillId="0" borderId="54" xfId="0" applyFont="1" applyBorder="1" applyAlignment="1">
      <alignment horizontal="right"/>
    </xf>
    <xf numFmtId="0" fontId="0" fillId="0" borderId="48" xfId="0" applyFont="1" applyBorder="1" applyAlignment="1"/>
    <xf numFmtId="0" fontId="0" fillId="0" borderId="55" xfId="0" applyFont="1" applyBorder="1" applyAlignment="1"/>
    <xf numFmtId="0" fontId="29" fillId="0" borderId="0" xfId="0" applyFont="1" applyBorder="1" applyAlignment="1">
      <alignment horizontal="right"/>
    </xf>
    <xf numFmtId="0" fontId="29" fillId="0" borderId="51" xfId="0" applyFont="1" applyBorder="1" applyAlignment="1">
      <alignment horizontal="right"/>
    </xf>
    <xf numFmtId="0" fontId="23" fillId="0" borderId="53" xfId="0" applyFont="1" applyBorder="1" applyAlignment="1"/>
    <xf numFmtId="0" fontId="23" fillId="0" borderId="51" xfId="0" applyFont="1" applyBorder="1" applyAlignment="1">
      <alignment horizontal="left"/>
    </xf>
    <xf numFmtId="0" fontId="23" fillId="0" borderId="48" xfId="0" applyFont="1" applyBorder="1" applyAlignment="1"/>
    <xf numFmtId="0" fontId="29" fillId="0" borderId="57" xfId="0" applyFont="1" applyBorder="1" applyAlignment="1">
      <alignment horizontal="right"/>
    </xf>
    <xf numFmtId="0" fontId="29" fillId="0" borderId="58" xfId="0" applyFont="1" applyBorder="1" applyAlignment="1">
      <alignment horizontal="right"/>
    </xf>
    <xf numFmtId="0" fontId="29" fillId="0" borderId="56" xfId="0" applyFont="1" applyBorder="1" applyAlignment="1">
      <alignment horizontal="right"/>
    </xf>
    <xf numFmtId="3" fontId="11" fillId="0" borderId="16" xfId="0" applyNumberFormat="1" applyFont="1" applyFill="1" applyBorder="1" applyAlignment="1">
      <alignment horizontal="right" vertical="center"/>
    </xf>
    <xf numFmtId="3" fontId="11" fillId="0" borderId="1" xfId="0" applyNumberFormat="1" applyFont="1" applyFill="1" applyBorder="1" applyAlignment="1">
      <alignment horizontal="right" vertical="center"/>
    </xf>
    <xf numFmtId="3" fontId="12" fillId="5" borderId="6" xfId="0" applyNumberFormat="1" applyFont="1" applyFill="1" applyBorder="1" applyAlignment="1">
      <alignment vertical="center"/>
    </xf>
    <xf numFmtId="167" fontId="11" fillId="0" borderId="4" xfId="0" applyNumberFormat="1" applyFont="1" applyFill="1" applyBorder="1" applyAlignment="1">
      <alignment horizontal="right" vertical="center"/>
    </xf>
    <xf numFmtId="0" fontId="27" fillId="0" borderId="0" xfId="0" applyFont="1" applyAlignment="1">
      <alignment horizontal="center"/>
    </xf>
    <xf numFmtId="2" fontId="11" fillId="0" borderId="5" xfId="0" applyNumberFormat="1" applyFont="1" applyBorder="1" applyAlignment="1">
      <alignment horizontal="left" vertical="center"/>
    </xf>
    <xf numFmtId="3" fontId="6" fillId="8" borderId="20" xfId="0" applyNumberFormat="1" applyFont="1" applyFill="1" applyBorder="1" applyAlignment="1">
      <alignment horizontal="center" vertical="center"/>
    </xf>
    <xf numFmtId="3" fontId="6" fillId="0" borderId="7" xfId="0" applyNumberFormat="1" applyFont="1" applyFill="1" applyBorder="1" applyAlignment="1">
      <alignment horizontal="right" vertical="center"/>
    </xf>
    <xf numFmtId="165" fontId="6" fillId="0" borderId="7" xfId="0" applyNumberFormat="1" applyFont="1" applyFill="1" applyBorder="1" applyAlignment="1">
      <alignment horizontal="right" vertical="center"/>
    </xf>
    <xf numFmtId="168" fontId="11" fillId="0" borderId="6" xfId="0" applyNumberFormat="1" applyFont="1" applyBorder="1" applyAlignment="1">
      <alignment horizontal="right" vertical="center"/>
    </xf>
    <xf numFmtId="0" fontId="29" fillId="0" borderId="0" xfId="0" applyFont="1" applyFill="1" applyBorder="1" applyAlignment="1">
      <alignment horizontal="right"/>
    </xf>
    <xf numFmtId="0" fontId="28" fillId="0" borderId="53" xfId="4" applyBorder="1" applyAlignment="1"/>
    <xf numFmtId="164" fontId="11" fillId="0" borderId="11" xfId="0" applyNumberFormat="1" applyFont="1" applyBorder="1" applyAlignment="1">
      <alignment vertical="center"/>
    </xf>
    <xf numFmtId="4" fontId="11" fillId="0" borderId="6" xfId="0" applyNumberFormat="1" applyFont="1" applyBorder="1" applyAlignment="1">
      <alignment horizontal="right" vertical="center"/>
    </xf>
    <xf numFmtId="4" fontId="11" fillId="0" borderId="7" xfId="0" applyNumberFormat="1" applyFont="1" applyBorder="1" applyAlignment="1">
      <alignment horizontal="right" vertical="center"/>
    </xf>
    <xf numFmtId="3" fontId="11" fillId="0" borderId="11" xfId="0" applyNumberFormat="1" applyFont="1" applyBorder="1" applyAlignment="1">
      <alignment vertical="center"/>
    </xf>
    <xf numFmtId="3" fontId="11" fillId="0" borderId="4" xfId="0" applyNumberFormat="1" applyFont="1" applyBorder="1" applyAlignment="1">
      <alignment horizontal="right" vertical="center"/>
    </xf>
    <xf numFmtId="0" fontId="11" fillId="0" borderId="11" xfId="0" applyFont="1" applyBorder="1"/>
    <xf numFmtId="3" fontId="11" fillId="0" borderId="4" xfId="0" applyNumberFormat="1" applyFont="1" applyFill="1" applyBorder="1" applyAlignment="1">
      <alignment vertical="center"/>
    </xf>
    <xf numFmtId="166" fontId="11" fillId="0" borderId="4" xfId="0" applyNumberFormat="1" applyFont="1" applyFill="1" applyBorder="1" applyAlignment="1">
      <alignment horizontal="right" vertical="center"/>
    </xf>
    <xf numFmtId="10" fontId="6" fillId="0" borderId="4" xfId="0" applyNumberFormat="1" applyFont="1" applyFill="1" applyBorder="1" applyAlignment="1">
      <alignment horizontal="right" vertical="center"/>
    </xf>
    <xf numFmtId="3" fontId="0" fillId="0" borderId="0" xfId="0" applyNumberFormat="1" applyFont="1" applyAlignment="1"/>
    <xf numFmtId="3" fontId="32" fillId="0" borderId="4" xfId="0" applyNumberFormat="1" applyFont="1" applyFill="1" applyBorder="1" applyAlignment="1">
      <alignment horizontal="right" vertical="center"/>
    </xf>
    <xf numFmtId="3" fontId="32" fillId="10" borderId="11" xfId="0" applyNumberFormat="1" applyFont="1" applyFill="1" applyBorder="1" applyAlignment="1">
      <alignment horizontal="right" vertical="center" wrapText="1"/>
    </xf>
    <xf numFmtId="3" fontId="32" fillId="10" borderId="4" xfId="0" applyNumberFormat="1" applyFont="1" applyFill="1" applyBorder="1" applyAlignment="1">
      <alignment horizontal="right" vertical="center" wrapText="1"/>
    </xf>
    <xf numFmtId="0" fontId="34" fillId="11" borderId="25" xfId="0" applyFont="1" applyFill="1" applyBorder="1" applyAlignment="1">
      <alignment horizontal="left" vertical="center"/>
    </xf>
    <xf numFmtId="3" fontId="35" fillId="11" borderId="62" xfId="0" applyNumberFormat="1" applyFont="1" applyFill="1" applyBorder="1" applyAlignment="1">
      <alignment horizontal="center" vertical="center" wrapText="1"/>
    </xf>
    <xf numFmtId="2" fontId="35" fillId="12" borderId="64" xfId="0" applyNumberFormat="1" applyFont="1" applyFill="1" applyBorder="1" applyAlignment="1">
      <alignment horizontal="left" vertical="center" wrapText="1"/>
    </xf>
    <xf numFmtId="2" fontId="35" fillId="11" borderId="65" xfId="0" applyNumberFormat="1" applyFont="1" applyFill="1" applyBorder="1" applyAlignment="1">
      <alignment horizontal="left" vertical="center" wrapText="1"/>
    </xf>
    <xf numFmtId="2" fontId="35" fillId="11" borderId="67" xfId="0" applyNumberFormat="1" applyFont="1" applyFill="1" applyBorder="1" applyAlignment="1">
      <alignment horizontal="left" vertical="center" wrapText="1"/>
    </xf>
    <xf numFmtId="2" fontId="35" fillId="12" borderId="68" xfId="0" applyNumberFormat="1" applyFont="1" applyFill="1" applyBorder="1" applyAlignment="1">
      <alignment horizontal="left" vertical="center" wrapText="1"/>
    </xf>
    <xf numFmtId="2" fontId="35" fillId="11" borderId="68" xfId="0" applyNumberFormat="1" applyFont="1" applyFill="1" applyBorder="1" applyAlignment="1">
      <alignment horizontal="left" vertical="center" wrapText="1"/>
    </xf>
    <xf numFmtId="2" fontId="35" fillId="11" borderId="30" xfId="0" applyNumberFormat="1" applyFont="1" applyFill="1" applyBorder="1" applyAlignment="1">
      <alignment horizontal="left" vertical="center" wrapText="1"/>
    </xf>
    <xf numFmtId="3" fontId="32" fillId="10" borderId="42" xfId="0" applyNumberFormat="1" applyFont="1" applyFill="1" applyBorder="1" applyAlignment="1">
      <alignment horizontal="right" vertical="center" wrapText="1"/>
    </xf>
    <xf numFmtId="3" fontId="35" fillId="11" borderId="63" xfId="0" applyNumberFormat="1" applyFont="1" applyFill="1" applyBorder="1" applyAlignment="1">
      <alignment horizontal="center" vertical="center" wrapText="1"/>
    </xf>
    <xf numFmtId="3" fontId="33" fillId="10" borderId="11" xfId="0" applyNumberFormat="1" applyFont="1" applyFill="1" applyBorder="1" applyAlignment="1">
      <alignment horizontal="right" vertical="center" wrapText="1"/>
    </xf>
    <xf numFmtId="3" fontId="36" fillId="10" borderId="41" xfId="0" applyNumberFormat="1" applyFont="1" applyFill="1" applyBorder="1" applyAlignment="1">
      <alignment horizontal="right" vertical="center" wrapText="1"/>
    </xf>
    <xf numFmtId="3" fontId="33" fillId="0" borderId="4" xfId="0" applyNumberFormat="1" applyFont="1" applyFill="1" applyBorder="1" applyAlignment="1">
      <alignment horizontal="right" vertical="center"/>
    </xf>
    <xf numFmtId="3" fontId="36" fillId="0" borderId="66" xfId="0" applyNumberFormat="1" applyFont="1" applyFill="1" applyBorder="1" applyAlignment="1">
      <alignment horizontal="right" vertical="center"/>
    </xf>
    <xf numFmtId="3" fontId="33" fillId="10" borderId="4" xfId="0" applyNumberFormat="1" applyFont="1" applyFill="1" applyBorder="1" applyAlignment="1">
      <alignment horizontal="right" vertical="center" wrapText="1"/>
    </xf>
    <xf numFmtId="3" fontId="36" fillId="10" borderId="66" xfId="0" applyNumberFormat="1" applyFont="1" applyFill="1" applyBorder="1" applyAlignment="1">
      <alignment horizontal="right" vertical="center" wrapText="1"/>
    </xf>
    <xf numFmtId="3" fontId="33" fillId="10" borderId="42" xfId="0" applyNumberFormat="1" applyFont="1" applyFill="1" applyBorder="1" applyAlignment="1">
      <alignment horizontal="right" vertical="center" wrapText="1"/>
    </xf>
    <xf numFmtId="3" fontId="36" fillId="10" borderId="43" xfId="0" applyNumberFormat="1" applyFont="1" applyFill="1" applyBorder="1" applyAlignment="1">
      <alignment horizontal="right" vertical="center" wrapText="1"/>
    </xf>
    <xf numFmtId="41" fontId="11" fillId="0" borderId="5" xfId="0" applyNumberFormat="1" applyFont="1" applyFill="1" applyBorder="1" applyAlignment="1">
      <alignment horizontal="right" vertical="center"/>
    </xf>
    <xf numFmtId="41" fontId="11" fillId="0" borderId="4" xfId="0" applyNumberFormat="1" applyFont="1" applyFill="1" applyBorder="1" applyAlignment="1">
      <alignment horizontal="right" vertical="center"/>
    </xf>
    <xf numFmtId="2" fontId="12" fillId="0" borderId="1" xfId="0" applyNumberFormat="1" applyFont="1" applyFill="1" applyBorder="1" applyAlignment="1">
      <alignment vertical="center"/>
    </xf>
    <xf numFmtId="3" fontId="9" fillId="0" borderId="2" xfId="0" applyNumberFormat="1" applyFont="1" applyFill="1" applyBorder="1" applyAlignment="1"/>
    <xf numFmtId="165" fontId="9" fillId="0" borderId="2" xfId="0" applyNumberFormat="1" applyFont="1" applyFill="1" applyBorder="1" applyAlignment="1"/>
    <xf numFmtId="4" fontId="9" fillId="0" borderId="3" xfId="0" applyNumberFormat="1" applyFont="1" applyFill="1" applyBorder="1" applyAlignment="1"/>
    <xf numFmtId="3" fontId="6" fillId="0" borderId="2" xfId="0" applyNumberFormat="1" applyFont="1" applyFill="1" applyBorder="1" applyAlignment="1">
      <alignment horizontal="right" vertical="center"/>
    </xf>
    <xf numFmtId="4" fontId="6" fillId="0" borderId="2" xfId="0" applyNumberFormat="1" applyFont="1" applyFill="1" applyBorder="1" applyAlignment="1">
      <alignment horizontal="right" vertical="center"/>
    </xf>
    <xf numFmtId="2" fontId="9" fillId="0" borderId="1" xfId="0" applyNumberFormat="1" applyFont="1" applyFill="1" applyBorder="1" applyAlignment="1">
      <alignment vertical="center"/>
    </xf>
    <xf numFmtId="2" fontId="9" fillId="0" borderId="11" xfId="0" applyNumberFormat="1" applyFont="1" applyFill="1" applyBorder="1" applyAlignment="1">
      <alignment vertical="center"/>
    </xf>
    <xf numFmtId="3" fontId="9" fillId="0" borderId="11" xfId="0" applyNumberFormat="1" applyFont="1" applyFill="1" applyBorder="1" applyAlignment="1"/>
    <xf numFmtId="2" fontId="6" fillId="0" borderId="1" xfId="0" applyNumberFormat="1" applyFont="1" applyFill="1" applyBorder="1" applyAlignment="1">
      <alignment vertical="center"/>
    </xf>
    <xf numFmtId="2" fontId="11" fillId="0" borderId="4" xfId="0" applyNumberFormat="1" applyFont="1" applyFill="1" applyBorder="1" applyAlignment="1">
      <alignment horizontal="left" vertical="center" wrapText="1"/>
    </xf>
    <xf numFmtId="2" fontId="17" fillId="0" borderId="7" xfId="0" applyNumberFormat="1" applyFont="1" applyFill="1" applyBorder="1" applyAlignment="1">
      <alignment vertical="center"/>
    </xf>
    <xf numFmtId="3" fontId="17" fillId="0" borderId="7" xfId="0" applyNumberFormat="1" applyFont="1" applyFill="1" applyBorder="1" applyAlignment="1">
      <alignment vertical="center"/>
    </xf>
    <xf numFmtId="165" fontId="17" fillId="0" borderId="7" xfId="0" applyNumberFormat="1" applyFont="1" applyFill="1" applyBorder="1" applyAlignment="1">
      <alignment horizontal="right" vertical="center"/>
    </xf>
    <xf numFmtId="2" fontId="6" fillId="0" borderId="4" xfId="0" applyNumberFormat="1" applyFont="1" applyFill="1" applyBorder="1" applyAlignment="1">
      <alignment vertical="center"/>
    </xf>
    <xf numFmtId="2" fontId="11" fillId="0" borderId="4" xfId="0" applyNumberFormat="1" applyFont="1" applyFill="1" applyBorder="1" applyAlignment="1">
      <alignment vertical="center"/>
    </xf>
    <xf numFmtId="3" fontId="6" fillId="9" borderId="4" xfId="0" applyNumberFormat="1" applyFont="1" applyFill="1" applyBorder="1" applyAlignment="1">
      <alignment horizontal="right" vertical="center"/>
    </xf>
    <xf numFmtId="165" fontId="6" fillId="9" borderId="4" xfId="0" applyNumberFormat="1" applyFont="1" applyFill="1" applyBorder="1" applyAlignment="1">
      <alignment horizontal="right" vertical="center"/>
    </xf>
    <xf numFmtId="4" fontId="6" fillId="9" borderId="4" xfId="0" applyNumberFormat="1" applyFont="1" applyFill="1" applyBorder="1" applyAlignment="1">
      <alignment horizontal="right" vertical="center"/>
    </xf>
    <xf numFmtId="2" fontId="11" fillId="0" borderId="68" xfId="5" applyNumberFormat="1" applyFont="1" applyFill="1" applyBorder="1" applyAlignment="1">
      <alignment horizontal="left" vertical="center" wrapText="1"/>
    </xf>
    <xf numFmtId="2" fontId="11" fillId="0" borderId="28" xfId="5" applyNumberFormat="1" applyFont="1" applyFill="1" applyBorder="1" applyAlignment="1">
      <alignment horizontal="left" vertical="center" wrapText="1"/>
    </xf>
    <xf numFmtId="2" fontId="11" fillId="0" borderId="68" xfId="5" applyNumberFormat="1" applyFont="1" applyFill="1" applyBorder="1" applyAlignment="1">
      <alignment horizontal="left" vertical="center" wrapText="1"/>
    </xf>
    <xf numFmtId="2" fontId="11" fillId="0" borderId="28" xfId="5" applyNumberFormat="1" applyFont="1" applyFill="1" applyBorder="1" applyAlignment="1">
      <alignment horizontal="left" vertical="center" wrapText="1"/>
    </xf>
    <xf numFmtId="2" fontId="6" fillId="0" borderId="2" xfId="0" applyNumberFormat="1" applyFont="1" applyFill="1" applyBorder="1" applyAlignment="1">
      <alignment vertical="center" wrapText="1"/>
    </xf>
    <xf numFmtId="2" fontId="6" fillId="0" borderId="2" xfId="0" applyNumberFormat="1" applyFont="1" applyBorder="1" applyAlignment="1">
      <alignment vertical="center" wrapText="1"/>
    </xf>
    <xf numFmtId="2" fontId="6" fillId="9" borderId="4" xfId="0" applyNumberFormat="1" applyFont="1" applyFill="1" applyBorder="1" applyAlignment="1">
      <alignment vertical="center" wrapText="1"/>
    </xf>
    <xf numFmtId="169" fontId="11" fillId="0" borderId="4" xfId="0" applyNumberFormat="1" applyFont="1" applyFill="1" applyBorder="1" applyAlignment="1">
      <alignment horizontal="right" vertical="center"/>
    </xf>
    <xf numFmtId="2" fontId="6" fillId="0" borderId="0" xfId="0" applyNumberFormat="1" applyFont="1" applyFill="1" applyBorder="1" applyAlignment="1">
      <alignment vertical="center" wrapText="1"/>
    </xf>
    <xf numFmtId="169" fontId="6" fillId="0" borderId="0" xfId="0" applyNumberFormat="1" applyFont="1" applyFill="1" applyBorder="1" applyAlignment="1">
      <alignment horizontal="right" vertical="center"/>
    </xf>
    <xf numFmtId="2" fontId="10" fillId="0" borderId="0" xfId="0" applyNumberFormat="1" applyFont="1" applyFill="1" applyAlignment="1">
      <alignment horizontal="right" vertical="center"/>
    </xf>
    <xf numFmtId="0" fontId="8" fillId="0" borderId="0" xfId="0" applyFont="1" applyFill="1" applyAlignment="1"/>
    <xf numFmtId="0" fontId="11" fillId="0" borderId="4" xfId="0" applyNumberFormat="1" applyFont="1" applyFill="1" applyBorder="1" applyAlignment="1">
      <alignment horizontal="right" vertical="center"/>
    </xf>
    <xf numFmtId="2" fontId="11" fillId="9" borderId="4" xfId="0" applyNumberFormat="1" applyFont="1" applyFill="1" applyBorder="1" applyAlignment="1">
      <alignment vertical="center"/>
    </xf>
    <xf numFmtId="166" fontId="6" fillId="9" borderId="11" xfId="2" applyNumberFormat="1" applyFont="1" applyFill="1" applyBorder="1" applyAlignment="1" applyProtection="1">
      <alignment horizontal="right" vertical="center"/>
      <protection locked="0"/>
    </xf>
    <xf numFmtId="170" fontId="6" fillId="6" borderId="4" xfId="0" applyNumberFormat="1" applyFont="1" applyFill="1" applyBorder="1" applyAlignment="1">
      <alignment horizontal="right" vertical="center"/>
    </xf>
    <xf numFmtId="2" fontId="12" fillId="9" borderId="1" xfId="0" applyNumberFormat="1" applyFont="1" applyFill="1" applyBorder="1" applyAlignment="1">
      <alignment vertical="center"/>
    </xf>
    <xf numFmtId="3" fontId="9" fillId="9" borderId="2" xfId="0" applyNumberFormat="1" applyFont="1" applyFill="1" applyBorder="1" applyAlignment="1"/>
    <xf numFmtId="165" fontId="9" fillId="9" borderId="2" xfId="0" applyNumberFormat="1" applyFont="1" applyFill="1" applyBorder="1" applyAlignment="1"/>
    <xf numFmtId="4" fontId="9" fillId="9" borderId="3" xfId="0" applyNumberFormat="1" applyFont="1" applyFill="1" applyBorder="1" applyAlignment="1"/>
    <xf numFmtId="2" fontId="6" fillId="9" borderId="1" xfId="0" applyNumberFormat="1" applyFont="1" applyFill="1" applyBorder="1" applyAlignment="1">
      <alignment vertical="center"/>
    </xf>
    <xf numFmtId="0" fontId="9" fillId="9" borderId="2" xfId="0" applyFont="1" applyFill="1" applyBorder="1" applyAlignment="1"/>
    <xf numFmtId="3" fontId="6" fillId="9" borderId="2" xfId="0" applyNumberFormat="1" applyFont="1" applyFill="1" applyBorder="1" applyAlignment="1">
      <alignment horizontal="right" vertical="center"/>
    </xf>
    <xf numFmtId="165" fontId="6" fillId="9" borderId="2" xfId="0" applyNumberFormat="1" applyFont="1" applyFill="1" applyBorder="1" applyAlignment="1">
      <alignment horizontal="right" vertical="center"/>
    </xf>
    <xf numFmtId="4" fontId="6" fillId="9" borderId="2" xfId="0" applyNumberFormat="1" applyFont="1" applyFill="1" applyBorder="1" applyAlignment="1">
      <alignment horizontal="right" vertical="center"/>
    </xf>
    <xf numFmtId="2" fontId="12" fillId="4" borderId="1" xfId="0" applyNumberFormat="1" applyFont="1" applyFill="1" applyBorder="1" applyAlignment="1">
      <alignment vertical="center"/>
    </xf>
    <xf numFmtId="2" fontId="6" fillId="9" borderId="17" xfId="0" applyNumberFormat="1" applyFont="1" applyFill="1" applyBorder="1" applyAlignment="1">
      <alignment vertical="center"/>
    </xf>
    <xf numFmtId="3" fontId="9" fillId="9" borderId="6" xfId="0" applyNumberFormat="1" applyFont="1" applyFill="1" applyBorder="1" applyAlignment="1"/>
    <xf numFmtId="165" fontId="9" fillId="9" borderId="6" xfId="0" applyNumberFormat="1" applyFont="1" applyFill="1" applyBorder="1" applyAlignment="1"/>
    <xf numFmtId="4" fontId="9" fillId="9" borderId="8" xfId="0" applyNumberFormat="1" applyFont="1" applyFill="1" applyBorder="1" applyAlignment="1"/>
    <xf numFmtId="3" fontId="6" fillId="9" borderId="2" xfId="0" applyNumberFormat="1" applyFont="1" applyFill="1" applyBorder="1" applyAlignment="1">
      <alignment vertical="center"/>
    </xf>
    <xf numFmtId="165" fontId="6" fillId="9" borderId="2" xfId="0" applyNumberFormat="1" applyFont="1" applyFill="1" applyBorder="1" applyAlignment="1">
      <alignment vertical="center"/>
    </xf>
    <xf numFmtId="4" fontId="6" fillId="9" borderId="3" xfId="0" applyNumberFormat="1" applyFont="1" applyFill="1" applyBorder="1" applyAlignment="1">
      <alignment vertical="center"/>
    </xf>
    <xf numFmtId="2" fontId="6" fillId="10" borderId="0" xfId="0" applyNumberFormat="1" applyFont="1" applyFill="1" applyBorder="1" applyAlignment="1">
      <alignment vertical="center" wrapText="1"/>
    </xf>
    <xf numFmtId="169" fontId="6" fillId="10" borderId="0" xfId="0" applyNumberFormat="1" applyFont="1" applyFill="1" applyBorder="1" applyAlignment="1">
      <alignment horizontal="right" vertical="center"/>
    </xf>
    <xf numFmtId="165" fontId="6" fillId="10" borderId="0" xfId="0" applyNumberFormat="1" applyFont="1" applyFill="1" applyBorder="1" applyAlignment="1">
      <alignment horizontal="right" vertical="center"/>
    </xf>
    <xf numFmtId="4" fontId="6" fillId="10" borderId="0" xfId="0" applyNumberFormat="1" applyFont="1" applyFill="1" applyBorder="1" applyAlignment="1">
      <alignment horizontal="right" vertical="center"/>
    </xf>
    <xf numFmtId="3" fontId="11" fillId="0" borderId="14" xfId="0" applyNumberFormat="1" applyFont="1" applyFill="1" applyBorder="1" applyAlignment="1">
      <alignment vertical="center"/>
    </xf>
    <xf numFmtId="166" fontId="6" fillId="9" borderId="4" xfId="0" applyNumberFormat="1" applyFont="1" applyFill="1" applyBorder="1" applyAlignment="1">
      <alignment horizontal="right" vertical="center"/>
    </xf>
    <xf numFmtId="166" fontId="6" fillId="0" borderId="4" xfId="0" applyNumberFormat="1" applyFont="1" applyFill="1" applyBorder="1" applyAlignment="1">
      <alignment horizontal="right" vertical="center"/>
    </xf>
    <xf numFmtId="0" fontId="7" fillId="0" borderId="0" xfId="0" applyFont="1" applyFill="1" applyAlignment="1">
      <alignment horizontal="right" vertical="center"/>
    </xf>
    <xf numFmtId="2" fontId="6" fillId="9" borderId="1" xfId="0" applyNumberFormat="1" applyFont="1" applyFill="1" applyBorder="1" applyAlignment="1">
      <alignment vertical="center" wrapText="1"/>
    </xf>
    <xf numFmtId="3" fontId="6" fillId="10" borderId="0" xfId="0" applyNumberFormat="1" applyFont="1" applyFill="1" applyBorder="1" applyAlignment="1">
      <alignment horizontal="right" vertical="center"/>
    </xf>
    <xf numFmtId="0" fontId="0" fillId="10" borderId="0" xfId="0" applyFont="1" applyFill="1" applyAlignment="1"/>
    <xf numFmtId="0" fontId="0" fillId="10" borderId="0" xfId="0" quotePrefix="1" applyFont="1" applyFill="1" applyAlignment="1"/>
    <xf numFmtId="0" fontId="21" fillId="13" borderId="44" xfId="0" applyFont="1" applyFill="1" applyBorder="1"/>
    <xf numFmtId="0" fontId="22" fillId="13" borderId="37" xfId="0" applyFont="1" applyFill="1" applyBorder="1" applyAlignment="1">
      <alignment horizontal="center"/>
    </xf>
    <xf numFmtId="0" fontId="22" fillId="13" borderId="38" xfId="0" applyFont="1" applyFill="1" applyBorder="1" applyAlignment="1">
      <alignment horizontal="center"/>
    </xf>
    <xf numFmtId="0" fontId="21" fillId="10" borderId="0" xfId="0" applyFont="1" applyFill="1"/>
    <xf numFmtId="0" fontId="22" fillId="10" borderId="0" xfId="0" applyFont="1" applyFill="1"/>
    <xf numFmtId="0" fontId="11" fillId="10" borderId="0" xfId="0" applyFont="1" applyFill="1"/>
    <xf numFmtId="0" fontId="23" fillId="10" borderId="0" xfId="0" applyFont="1" applyFill="1"/>
    <xf numFmtId="0" fontId="23" fillId="10" borderId="0" xfId="0" applyFont="1" applyFill="1" applyAlignment="1"/>
    <xf numFmtId="3" fontId="21" fillId="10" borderId="4" xfId="0" applyNumberFormat="1" applyFont="1" applyFill="1" applyBorder="1" applyAlignment="1">
      <alignment horizontal="right" vertical="center"/>
    </xf>
    <xf numFmtId="0" fontId="22" fillId="13" borderId="44" xfId="0" applyFont="1" applyFill="1" applyBorder="1" applyAlignment="1">
      <alignment horizontal="center" wrapText="1"/>
    </xf>
    <xf numFmtId="0" fontId="21" fillId="10" borderId="45" xfId="0" applyFont="1" applyFill="1" applyBorder="1" applyAlignment="1"/>
    <xf numFmtId="10" fontId="21" fillId="10" borderId="21" xfId="1" applyNumberFormat="1" applyFont="1" applyFill="1" applyBorder="1"/>
    <xf numFmtId="2" fontId="11" fillId="10" borderId="0" xfId="0" applyNumberFormat="1" applyFont="1" applyFill="1"/>
    <xf numFmtId="2" fontId="23" fillId="10" borderId="0" xfId="0" applyNumberFormat="1" applyFont="1" applyFill="1"/>
    <xf numFmtId="0" fontId="21" fillId="10" borderId="45" xfId="0" applyFont="1" applyFill="1" applyBorder="1" applyAlignment="1">
      <alignment wrapText="1"/>
    </xf>
    <xf numFmtId="0" fontId="22" fillId="13" borderId="45" xfId="0" applyFont="1" applyFill="1" applyBorder="1"/>
    <xf numFmtId="3" fontId="21" fillId="10" borderId="3" xfId="0" applyNumberFormat="1" applyFont="1" applyFill="1" applyBorder="1" applyAlignment="1">
      <alignment horizontal="center"/>
    </xf>
    <xf numFmtId="0" fontId="22" fillId="13" borderId="46" xfId="0" applyFont="1" applyFill="1" applyBorder="1"/>
    <xf numFmtId="0" fontId="21" fillId="10" borderId="0" xfId="0" applyFont="1" applyFill="1" applyBorder="1"/>
    <xf numFmtId="0" fontId="22" fillId="13" borderId="47" xfId="0" applyFont="1" applyFill="1" applyBorder="1"/>
    <xf numFmtId="0" fontId="22" fillId="13" borderId="39" xfId="0" applyFont="1" applyFill="1" applyBorder="1" applyAlignment="1">
      <alignment horizontal="center"/>
    </xf>
    <xf numFmtId="0" fontId="22" fillId="13" borderId="40" xfId="0" applyFont="1" applyFill="1" applyBorder="1" applyAlignment="1">
      <alignment horizontal="center"/>
    </xf>
    <xf numFmtId="0" fontId="11" fillId="10" borderId="0" xfId="0" applyFont="1" applyFill="1" applyBorder="1"/>
    <xf numFmtId="0" fontId="23" fillId="10" borderId="0" xfId="0" applyFont="1" applyFill="1" applyBorder="1"/>
    <xf numFmtId="0" fontId="23" fillId="10" borderId="0" xfId="0" applyFont="1" applyFill="1" applyBorder="1" applyAlignment="1"/>
    <xf numFmtId="0" fontId="0" fillId="10" borderId="0" xfId="0" applyFill="1"/>
    <xf numFmtId="2" fontId="6" fillId="9" borderId="2" xfId="0" applyNumberFormat="1" applyFont="1" applyFill="1" applyBorder="1" applyAlignment="1">
      <alignment vertical="center" wrapText="1"/>
    </xf>
    <xf numFmtId="2" fontId="6" fillId="9" borderId="3" xfId="0" applyNumberFormat="1" applyFont="1" applyFill="1" applyBorder="1" applyAlignment="1">
      <alignment vertical="center" wrapText="1"/>
    </xf>
    <xf numFmtId="2" fontId="11" fillId="0" borderId="11" xfId="0" applyNumberFormat="1" applyFont="1" applyBorder="1" applyAlignment="1">
      <alignment vertical="center"/>
    </xf>
    <xf numFmtId="4" fontId="11" fillId="0" borderId="11" xfId="0" applyNumberFormat="1" applyFont="1" applyFill="1" applyBorder="1" applyAlignment="1">
      <alignment horizontal="right" vertical="center"/>
    </xf>
    <xf numFmtId="165" fontId="6" fillId="9" borderId="3" xfId="0" applyNumberFormat="1" applyFont="1" applyFill="1" applyBorder="1" applyAlignment="1">
      <alignment horizontal="right" vertical="center"/>
    </xf>
    <xf numFmtId="2" fontId="12" fillId="5" borderId="2" xfId="0" applyNumberFormat="1" applyFont="1" applyFill="1" applyBorder="1" applyAlignment="1">
      <alignment vertical="center"/>
    </xf>
    <xf numFmtId="2" fontId="12" fillId="5" borderId="3" xfId="0" applyNumberFormat="1" applyFont="1" applyFill="1" applyBorder="1" applyAlignment="1">
      <alignment vertical="center"/>
    </xf>
    <xf numFmtId="3" fontId="11" fillId="10" borderId="11" xfId="0" applyNumberFormat="1" applyFont="1" applyFill="1" applyBorder="1" applyAlignment="1">
      <alignment horizontal="right" vertical="center"/>
    </xf>
    <xf numFmtId="0" fontId="11" fillId="10" borderId="4" xfId="0" applyNumberFormat="1" applyFont="1" applyFill="1" applyBorder="1" applyAlignment="1">
      <alignment horizontal="right" vertical="center"/>
    </xf>
    <xf numFmtId="167" fontId="11" fillId="10" borderId="4" xfId="0" applyNumberFormat="1" applyFont="1" applyFill="1" applyBorder="1" applyAlignment="1">
      <alignment horizontal="right" vertical="center"/>
    </xf>
    <xf numFmtId="4" fontId="11" fillId="10" borderId="11" xfId="0" applyNumberFormat="1" applyFont="1" applyFill="1" applyBorder="1" applyAlignment="1">
      <alignment horizontal="right" vertical="center"/>
    </xf>
    <xf numFmtId="3" fontId="9" fillId="10" borderId="11" xfId="0" applyNumberFormat="1" applyFont="1" applyFill="1" applyBorder="1" applyAlignment="1">
      <alignment horizontal="right" vertical="center"/>
    </xf>
    <xf numFmtId="1" fontId="11" fillId="0" borderId="4" xfId="0" applyNumberFormat="1" applyFont="1" applyBorder="1" applyAlignment="1">
      <alignment vertical="center" wrapText="1"/>
    </xf>
    <xf numFmtId="1" fontId="11" fillId="0" borderId="4" xfId="0" applyNumberFormat="1" applyFont="1" applyFill="1" applyBorder="1" applyAlignment="1">
      <alignment horizontal="right" vertical="center"/>
    </xf>
    <xf numFmtId="1" fontId="11" fillId="0" borderId="4" xfId="0" applyNumberFormat="1" applyFont="1" applyBorder="1" applyAlignment="1">
      <alignment horizontal="left" vertical="center" wrapText="1"/>
    </xf>
    <xf numFmtId="3" fontId="9" fillId="10" borderId="11" xfId="0" applyNumberFormat="1" applyFont="1" applyFill="1" applyBorder="1" applyAlignment="1"/>
    <xf numFmtId="4" fontId="11" fillId="10" borderId="4" xfId="0" applyNumberFormat="1" applyFont="1" applyFill="1" applyBorder="1" applyAlignment="1">
      <alignment horizontal="right" vertical="center"/>
    </xf>
    <xf numFmtId="0" fontId="11" fillId="0" borderId="5" xfId="0" applyNumberFormat="1" applyFont="1" applyFill="1" applyBorder="1" applyAlignment="1">
      <alignment horizontal="right" vertical="center"/>
    </xf>
    <xf numFmtId="2" fontId="12" fillId="14" borderId="1" xfId="0" applyNumberFormat="1" applyFont="1" applyFill="1" applyBorder="1" applyAlignment="1">
      <alignment vertical="center"/>
    </xf>
    <xf numFmtId="3" fontId="9" fillId="15" borderId="2" xfId="0" applyNumberFormat="1" applyFont="1" applyFill="1" applyBorder="1" applyAlignment="1"/>
    <xf numFmtId="165" fontId="9" fillId="15" borderId="2" xfId="0" applyNumberFormat="1" applyFont="1" applyFill="1" applyBorder="1" applyAlignment="1"/>
    <xf numFmtId="4" fontId="9" fillId="15" borderId="3" xfId="0" applyNumberFormat="1" applyFont="1" applyFill="1" applyBorder="1" applyAlignment="1"/>
    <xf numFmtId="0" fontId="8" fillId="0" borderId="11" xfId="0" applyFont="1" applyFill="1" applyBorder="1" applyAlignment="1"/>
    <xf numFmtId="0" fontId="9" fillId="9" borderId="6" xfId="0" applyFont="1" applyFill="1" applyBorder="1" applyAlignment="1"/>
    <xf numFmtId="2" fontId="11" fillId="0" borderId="11" xfId="0" applyNumberFormat="1" applyFont="1" applyFill="1" applyBorder="1" applyAlignment="1">
      <alignment vertical="center" wrapText="1"/>
    </xf>
    <xf numFmtId="2" fontId="11" fillId="0" borderId="11" xfId="0" applyNumberFormat="1" applyFont="1" applyFill="1" applyBorder="1" applyAlignment="1">
      <alignment horizontal="left" vertical="center" wrapText="1"/>
    </xf>
    <xf numFmtId="2" fontId="6" fillId="6" borderId="10" xfId="0" applyNumberFormat="1" applyFont="1" applyFill="1" applyBorder="1" applyAlignment="1">
      <alignment vertical="center" wrapText="1"/>
    </xf>
    <xf numFmtId="4" fontId="6" fillId="6" borderId="10" xfId="0" applyNumberFormat="1" applyFont="1" applyFill="1" applyBorder="1" applyAlignment="1">
      <alignment horizontal="right" vertical="center"/>
    </xf>
    <xf numFmtId="165" fontId="6" fillId="6" borderId="10" xfId="0" applyNumberFormat="1" applyFont="1" applyFill="1" applyBorder="1" applyAlignment="1">
      <alignment horizontal="right" vertical="center"/>
    </xf>
    <xf numFmtId="3" fontId="12" fillId="14" borderId="2" xfId="0" applyNumberFormat="1" applyFont="1" applyFill="1" applyBorder="1" applyAlignment="1">
      <alignment vertical="center"/>
    </xf>
    <xf numFmtId="165" fontId="12" fillId="14" borderId="2" xfId="0" applyNumberFormat="1" applyFont="1" applyFill="1" applyBorder="1" applyAlignment="1">
      <alignment vertical="center"/>
    </xf>
    <xf numFmtId="4" fontId="12" fillId="14" borderId="3" xfId="0" applyNumberFormat="1" applyFont="1" applyFill="1" applyBorder="1" applyAlignment="1">
      <alignment vertical="center"/>
    </xf>
    <xf numFmtId="2" fontId="12" fillId="14" borderId="19" xfId="0" applyNumberFormat="1" applyFont="1" applyFill="1" applyBorder="1" applyAlignment="1">
      <alignment vertical="center"/>
    </xf>
    <xf numFmtId="3" fontId="12" fillId="14" borderId="20" xfId="0" applyNumberFormat="1" applyFont="1" applyFill="1" applyBorder="1" applyAlignment="1">
      <alignment vertical="center"/>
    </xf>
    <xf numFmtId="165" fontId="12" fillId="14" borderId="20" xfId="0" applyNumberFormat="1" applyFont="1" applyFill="1" applyBorder="1" applyAlignment="1">
      <alignment vertical="center"/>
    </xf>
    <xf numFmtId="4" fontId="12" fillId="14" borderId="21" xfId="0" applyNumberFormat="1" applyFont="1" applyFill="1" applyBorder="1" applyAlignment="1">
      <alignment vertical="center"/>
    </xf>
    <xf numFmtId="2" fontId="12" fillId="14" borderId="17" xfId="0" applyNumberFormat="1" applyFont="1" applyFill="1" applyBorder="1" applyAlignment="1">
      <alignment vertical="center"/>
    </xf>
    <xf numFmtId="3" fontId="12" fillId="14" borderId="6" xfId="0" applyNumberFormat="1" applyFont="1" applyFill="1" applyBorder="1" applyAlignment="1">
      <alignment vertical="center"/>
    </xf>
    <xf numFmtId="165" fontId="12" fillId="14" borderId="6" xfId="0" applyNumberFormat="1" applyFont="1" applyFill="1" applyBorder="1" applyAlignment="1">
      <alignment vertical="center"/>
    </xf>
    <xf numFmtId="4" fontId="12" fillId="14" borderId="8" xfId="0" applyNumberFormat="1" applyFont="1" applyFill="1" applyBorder="1" applyAlignment="1">
      <alignment vertical="center"/>
    </xf>
    <xf numFmtId="2" fontId="6" fillId="15" borderId="11" xfId="0" applyNumberFormat="1" applyFont="1" applyFill="1" applyBorder="1" applyAlignment="1">
      <alignment horizontal="left" vertical="center"/>
    </xf>
    <xf numFmtId="3" fontId="6" fillId="15" borderId="11" xfId="0" applyNumberFormat="1" applyFont="1" applyFill="1" applyBorder="1" applyAlignment="1">
      <alignment horizontal="center" vertical="center"/>
    </xf>
    <xf numFmtId="3" fontId="6" fillId="15" borderId="11" xfId="0" applyNumberFormat="1" applyFont="1" applyFill="1" applyBorder="1" applyAlignment="1">
      <alignment horizontal="right" vertical="center"/>
    </xf>
    <xf numFmtId="164" fontId="11" fillId="0" borderId="18" xfId="0" applyNumberFormat="1" applyFont="1" applyBorder="1" applyAlignment="1">
      <alignment vertical="center"/>
    </xf>
    <xf numFmtId="3" fontId="11" fillId="0" borderId="18" xfId="0" applyNumberFormat="1" applyFont="1" applyBorder="1" applyAlignment="1">
      <alignment vertical="center"/>
    </xf>
    <xf numFmtId="3" fontId="6" fillId="6" borderId="20" xfId="0" applyNumberFormat="1" applyFont="1" applyFill="1" applyBorder="1" applyAlignment="1">
      <alignment vertical="center"/>
    </xf>
    <xf numFmtId="165" fontId="6" fillId="6" borderId="20" xfId="0" applyNumberFormat="1" applyFont="1" applyFill="1" applyBorder="1" applyAlignment="1">
      <alignment vertical="center"/>
    </xf>
    <xf numFmtId="164" fontId="6" fillId="10" borderId="0" xfId="0" quotePrefix="1" applyNumberFormat="1" applyFont="1" applyFill="1" applyBorder="1" applyAlignment="1">
      <alignment horizontal="left" vertical="center"/>
    </xf>
    <xf numFmtId="2" fontId="6" fillId="9" borderId="19" xfId="0" applyNumberFormat="1" applyFont="1" applyFill="1" applyBorder="1" applyAlignment="1">
      <alignment vertical="center"/>
    </xf>
    <xf numFmtId="2" fontId="6" fillId="9" borderId="20" xfId="0" applyNumberFormat="1" applyFont="1" applyFill="1" applyBorder="1" applyAlignment="1">
      <alignment vertical="center"/>
    </xf>
    <xf numFmtId="2" fontId="6" fillId="9" borderId="21" xfId="0" applyNumberFormat="1" applyFont="1" applyFill="1" applyBorder="1" applyAlignment="1">
      <alignment vertical="center"/>
    </xf>
    <xf numFmtId="0" fontId="9" fillId="9" borderId="20" xfId="0" applyFont="1" applyFill="1" applyBorder="1" applyAlignment="1"/>
    <xf numFmtId="2" fontId="12" fillId="5" borderId="19" xfId="0" applyNumberFormat="1" applyFont="1" applyFill="1" applyBorder="1" applyAlignment="1">
      <alignment horizontal="left" vertical="center"/>
    </xf>
    <xf numFmtId="164" fontId="11" fillId="10" borderId="2" xfId="0" applyNumberFormat="1" applyFont="1" applyFill="1" applyBorder="1" applyAlignment="1">
      <alignment vertical="center"/>
    </xf>
    <xf numFmtId="3" fontId="11" fillId="10" borderId="2" xfId="0" applyNumberFormat="1" applyFont="1" applyFill="1" applyBorder="1" applyAlignment="1">
      <alignment vertical="center"/>
    </xf>
    <xf numFmtId="3" fontId="11" fillId="10" borderId="2" xfId="0" applyNumberFormat="1" applyFont="1" applyFill="1" applyBorder="1" applyAlignment="1">
      <alignment horizontal="right" vertical="center"/>
    </xf>
    <xf numFmtId="165" fontId="11" fillId="10" borderId="2" xfId="0" applyNumberFormat="1" applyFont="1" applyFill="1" applyBorder="1" applyAlignment="1">
      <alignment horizontal="right" vertical="center"/>
    </xf>
    <xf numFmtId="4" fontId="6" fillId="10" borderId="0" xfId="0" applyNumberFormat="1" applyFont="1" applyFill="1" applyAlignment="1">
      <alignment horizontal="right" vertical="center"/>
    </xf>
    <xf numFmtId="2" fontId="6" fillId="14" borderId="16" xfId="0" applyNumberFormat="1" applyFont="1" applyFill="1" applyBorder="1" applyAlignment="1">
      <alignment vertical="center"/>
    </xf>
    <xf numFmtId="3" fontId="9" fillId="15" borderId="7" xfId="0" applyNumberFormat="1" applyFont="1" applyFill="1" applyBorder="1" applyAlignment="1"/>
    <xf numFmtId="165" fontId="9" fillId="15" borderId="7" xfId="0" applyNumberFormat="1" applyFont="1" applyFill="1" applyBorder="1" applyAlignment="1"/>
    <xf numFmtId="4" fontId="9" fillId="15" borderId="9" xfId="0" applyNumberFormat="1" applyFont="1" applyFill="1" applyBorder="1" applyAlignment="1"/>
    <xf numFmtId="164" fontId="11" fillId="10" borderId="0" xfId="0" applyNumberFormat="1" applyFont="1" applyFill="1" applyBorder="1" applyAlignment="1">
      <alignment vertical="center"/>
    </xf>
    <xf numFmtId="3" fontId="11" fillId="10" borderId="0" xfId="0" applyNumberFormat="1" applyFont="1" applyFill="1" applyBorder="1" applyAlignment="1">
      <alignment vertical="center"/>
    </xf>
    <xf numFmtId="3" fontId="11" fillId="10" borderId="0" xfId="0" applyNumberFormat="1" applyFont="1" applyFill="1" applyBorder="1" applyAlignment="1">
      <alignment horizontal="right" vertical="center"/>
    </xf>
    <xf numFmtId="165" fontId="11" fillId="10" borderId="0" xfId="0" applyNumberFormat="1" applyFont="1" applyFill="1" applyBorder="1" applyAlignment="1">
      <alignment horizontal="right" vertical="center"/>
    </xf>
    <xf numFmtId="3" fontId="6" fillId="6" borderId="10" xfId="0" applyNumberFormat="1" applyFont="1" applyFill="1" applyBorder="1" applyAlignment="1">
      <alignment horizontal="right" vertical="center"/>
    </xf>
    <xf numFmtId="3" fontId="9" fillId="6" borderId="7" xfId="0" applyNumberFormat="1" applyFont="1" applyFill="1" applyBorder="1" applyAlignment="1"/>
    <xf numFmtId="3" fontId="9" fillId="6" borderId="20" xfId="0" applyNumberFormat="1" applyFont="1" applyFill="1" applyBorder="1"/>
    <xf numFmtId="165" fontId="9" fillId="6" borderId="20" xfId="0" applyNumberFormat="1" applyFont="1" applyFill="1" applyBorder="1"/>
    <xf numFmtId="4" fontId="9" fillId="6" borderId="21" xfId="0" applyNumberFormat="1" applyFont="1" applyFill="1" applyBorder="1"/>
    <xf numFmtId="2" fontId="6" fillId="9" borderId="10" xfId="0" applyNumberFormat="1" applyFont="1" applyFill="1" applyBorder="1" applyAlignment="1">
      <alignment vertical="center" wrapText="1"/>
    </xf>
    <xf numFmtId="3" fontId="6" fillId="9" borderId="10" xfId="0" applyNumberFormat="1" applyFont="1" applyFill="1" applyBorder="1" applyAlignment="1">
      <alignment horizontal="right" vertical="center"/>
    </xf>
    <xf numFmtId="165" fontId="6" fillId="9" borderId="10" xfId="0" applyNumberFormat="1" applyFont="1" applyFill="1" applyBorder="1" applyAlignment="1">
      <alignment horizontal="right" vertical="center"/>
    </xf>
    <xf numFmtId="4" fontId="6" fillId="9" borderId="10" xfId="0" applyNumberFormat="1" applyFont="1" applyFill="1" applyBorder="1" applyAlignment="1">
      <alignment horizontal="right" vertical="center"/>
    </xf>
    <xf numFmtId="2" fontId="12" fillId="9" borderId="16" xfId="0" applyNumberFormat="1" applyFont="1" applyFill="1" applyBorder="1" applyAlignment="1">
      <alignment vertical="center"/>
    </xf>
    <xf numFmtId="3" fontId="6" fillId="9" borderId="7" xfId="0" applyNumberFormat="1" applyFont="1" applyFill="1" applyBorder="1" applyAlignment="1">
      <alignment horizontal="right" vertical="center"/>
    </xf>
    <xf numFmtId="165" fontId="6" fillId="9" borderId="7" xfId="0" applyNumberFormat="1" applyFont="1" applyFill="1" applyBorder="1" applyAlignment="1">
      <alignment horizontal="right" vertical="center"/>
    </xf>
    <xf numFmtId="4" fontId="6" fillId="9" borderId="7" xfId="0" applyNumberFormat="1" applyFont="1" applyFill="1" applyBorder="1" applyAlignment="1">
      <alignment horizontal="right" vertical="center"/>
    </xf>
    <xf numFmtId="164" fontId="11" fillId="0" borderId="0" xfId="0" applyNumberFormat="1" applyFont="1" applyFill="1" applyBorder="1" applyAlignment="1">
      <alignment vertical="center"/>
    </xf>
    <xf numFmtId="3" fontId="11" fillId="0" borderId="0" xfId="0" applyNumberFormat="1" applyFont="1" applyFill="1" applyBorder="1" applyAlignment="1">
      <alignment vertical="center"/>
    </xf>
    <xf numFmtId="3" fontId="11" fillId="0" borderId="0" xfId="0" applyNumberFormat="1" applyFont="1" applyFill="1" applyBorder="1" applyAlignment="1">
      <alignment horizontal="right" vertical="center"/>
    </xf>
    <xf numFmtId="165" fontId="11" fillId="0" borderId="0" xfId="0" applyNumberFormat="1" applyFont="1" applyFill="1" applyBorder="1" applyAlignment="1">
      <alignment horizontal="right" vertical="center"/>
    </xf>
    <xf numFmtId="164" fontId="11" fillId="0" borderId="19" xfId="0" applyNumberFormat="1" applyFont="1" applyFill="1" applyBorder="1" applyAlignment="1">
      <alignment vertical="center"/>
    </xf>
    <xf numFmtId="3" fontId="11" fillId="0" borderId="20" xfId="0" applyNumberFormat="1" applyFont="1" applyFill="1" applyBorder="1" applyAlignment="1">
      <alignment vertical="center"/>
    </xf>
    <xf numFmtId="3" fontId="11" fillId="0" borderId="20" xfId="0" applyNumberFormat="1" applyFont="1" applyFill="1" applyBorder="1" applyAlignment="1">
      <alignment horizontal="right" vertical="center"/>
    </xf>
    <xf numFmtId="165" fontId="11" fillId="0" borderId="20" xfId="0" applyNumberFormat="1" applyFont="1" applyFill="1" applyBorder="1" applyAlignment="1">
      <alignment horizontal="right" vertical="center"/>
    </xf>
    <xf numFmtId="4" fontId="6" fillId="0" borderId="21" xfId="0" applyNumberFormat="1" applyFont="1" applyFill="1" applyBorder="1" applyAlignment="1">
      <alignment horizontal="right" vertical="center"/>
    </xf>
    <xf numFmtId="2" fontId="6" fillId="6" borderId="69" xfId="0" applyNumberFormat="1" applyFont="1" applyFill="1" applyBorder="1" applyAlignment="1">
      <alignment vertical="center" wrapText="1"/>
    </xf>
    <xf numFmtId="3" fontId="6" fillId="6" borderId="70" xfId="0" applyNumberFormat="1" applyFont="1" applyFill="1" applyBorder="1" applyAlignment="1">
      <alignment horizontal="right" vertical="center"/>
    </xf>
    <xf numFmtId="165" fontId="6" fillId="6" borderId="70" xfId="0" applyNumberFormat="1" applyFont="1" applyFill="1" applyBorder="1" applyAlignment="1">
      <alignment horizontal="right" vertical="center"/>
    </xf>
    <xf numFmtId="4" fontId="6" fillId="6" borderId="71" xfId="0" applyNumberFormat="1" applyFont="1" applyFill="1" applyBorder="1" applyAlignment="1">
      <alignment horizontal="right" vertical="center"/>
    </xf>
    <xf numFmtId="2" fontId="6" fillId="6" borderId="72" xfId="0" applyNumberFormat="1" applyFont="1" applyFill="1" applyBorder="1" applyAlignment="1">
      <alignment vertical="center" wrapText="1"/>
    </xf>
    <xf numFmtId="4" fontId="6" fillId="6" borderId="73" xfId="0" applyNumberFormat="1" applyFont="1" applyFill="1" applyBorder="1" applyAlignment="1">
      <alignment horizontal="right" vertical="center"/>
    </xf>
    <xf numFmtId="165" fontId="6" fillId="6" borderId="73" xfId="0" applyNumberFormat="1" applyFont="1" applyFill="1" applyBorder="1" applyAlignment="1">
      <alignment horizontal="right" vertical="center"/>
    </xf>
    <xf numFmtId="4" fontId="6" fillId="6" borderId="74" xfId="0" applyNumberFormat="1" applyFont="1" applyFill="1" applyBorder="1" applyAlignment="1">
      <alignment horizontal="right" vertical="center"/>
    </xf>
    <xf numFmtId="2" fontId="6" fillId="0" borderId="10" xfId="0" applyNumberFormat="1" applyFont="1" applyBorder="1" applyAlignment="1">
      <alignment vertical="center"/>
    </xf>
    <xf numFmtId="3" fontId="6" fillId="0" borderId="10" xfId="0" applyNumberFormat="1" applyFont="1" applyFill="1" applyBorder="1" applyAlignment="1">
      <alignment horizontal="right" vertical="center"/>
    </xf>
    <xf numFmtId="2" fontId="6" fillId="9" borderId="11" xfId="0" applyNumberFormat="1" applyFont="1" applyFill="1" applyBorder="1" applyAlignment="1">
      <alignment vertical="center" wrapText="1"/>
    </xf>
    <xf numFmtId="3" fontId="6" fillId="9" borderId="11" xfId="0" applyNumberFormat="1" applyFont="1" applyFill="1" applyBorder="1" applyAlignment="1">
      <alignment horizontal="right" vertical="center"/>
    </xf>
    <xf numFmtId="165" fontId="6" fillId="9" borderId="11" xfId="0" applyNumberFormat="1" applyFont="1" applyFill="1" applyBorder="1" applyAlignment="1">
      <alignment horizontal="right" vertical="center"/>
    </xf>
    <xf numFmtId="4" fontId="6" fillId="9" borderId="11" xfId="0" applyNumberFormat="1" applyFont="1" applyFill="1" applyBorder="1" applyAlignment="1">
      <alignment horizontal="right" vertical="center"/>
    </xf>
    <xf numFmtId="1" fontId="11" fillId="0" borderId="5" xfId="0" applyNumberFormat="1" applyFont="1" applyFill="1" applyBorder="1" applyAlignment="1">
      <alignment horizontal="right" vertical="center"/>
    </xf>
    <xf numFmtId="3" fontId="37" fillId="6" borderId="2" xfId="0" applyNumberFormat="1" applyFont="1" applyFill="1" applyBorder="1" applyAlignment="1">
      <alignment horizontal="center"/>
    </xf>
    <xf numFmtId="3" fontId="11" fillId="0" borderId="17" xfId="0" applyNumberFormat="1" applyFont="1" applyFill="1" applyBorder="1" applyAlignment="1">
      <alignment horizontal="right" vertical="center"/>
    </xf>
    <xf numFmtId="3" fontId="11" fillId="0" borderId="75" xfId="0" applyNumberFormat="1" applyFont="1" applyFill="1" applyBorder="1" applyAlignment="1">
      <alignment horizontal="right" vertical="center"/>
    </xf>
    <xf numFmtId="165" fontId="6" fillId="0" borderId="8" xfId="0" applyNumberFormat="1" applyFont="1" applyFill="1" applyBorder="1" applyAlignment="1">
      <alignment horizontal="right" vertical="center"/>
    </xf>
    <xf numFmtId="3" fontId="11" fillId="0" borderId="18" xfId="0" applyNumberFormat="1" applyFont="1" applyFill="1" applyBorder="1" applyAlignment="1">
      <alignment horizontal="right" vertical="center"/>
    </xf>
    <xf numFmtId="165" fontId="6" fillId="0" borderId="9" xfId="0" applyNumberFormat="1" applyFont="1" applyFill="1" applyBorder="1" applyAlignment="1">
      <alignment horizontal="right" vertical="center"/>
    </xf>
    <xf numFmtId="3" fontId="11" fillId="10" borderId="0" xfId="0" applyNumberFormat="1" applyFont="1" applyFill="1" applyBorder="1" applyAlignment="1"/>
    <xf numFmtId="165" fontId="11" fillId="10" borderId="0" xfId="0" applyNumberFormat="1" applyFont="1" applyFill="1" applyBorder="1" applyAlignment="1"/>
    <xf numFmtId="4" fontId="11" fillId="10" borderId="0" xfId="0" applyNumberFormat="1" applyFont="1" applyFill="1" applyBorder="1" applyAlignment="1"/>
    <xf numFmtId="0" fontId="11" fillId="10" borderId="0" xfId="0" applyFont="1" applyFill="1" applyBorder="1" applyAlignment="1"/>
    <xf numFmtId="4" fontId="11" fillId="10" borderId="0" xfId="0" applyNumberFormat="1" applyFont="1" applyFill="1" applyBorder="1" applyAlignment="1">
      <alignment horizontal="right" vertical="center"/>
    </xf>
    <xf numFmtId="2" fontId="13" fillId="10" borderId="1" xfId="0" applyNumberFormat="1" applyFont="1" applyFill="1" applyBorder="1" applyAlignment="1">
      <alignment vertical="center"/>
    </xf>
    <xf numFmtId="3" fontId="11" fillId="0" borderId="76" xfId="0" applyNumberFormat="1" applyFont="1" applyFill="1" applyBorder="1" applyAlignment="1">
      <alignment horizontal="right" vertical="center"/>
    </xf>
    <xf numFmtId="0" fontId="22" fillId="13" borderId="77" xfId="0" applyFont="1" applyFill="1" applyBorder="1" applyAlignment="1">
      <alignment horizontal="center"/>
    </xf>
    <xf numFmtId="10" fontId="21" fillId="10" borderId="78" xfId="1" applyNumberFormat="1" applyFont="1" applyFill="1" applyBorder="1"/>
    <xf numFmtId="10" fontId="21" fillId="10" borderId="79" xfId="1" applyNumberFormat="1" applyFont="1" applyFill="1" applyBorder="1"/>
    <xf numFmtId="10" fontId="21" fillId="10" borderId="80" xfId="1" applyNumberFormat="1" applyFont="1" applyFill="1" applyBorder="1"/>
    <xf numFmtId="0" fontId="21" fillId="10" borderId="65" xfId="0" applyFont="1" applyFill="1" applyBorder="1" applyAlignment="1">
      <alignment wrapText="1"/>
    </xf>
    <xf numFmtId="3" fontId="21" fillId="10" borderId="66" xfId="0" applyNumberFormat="1" applyFont="1" applyFill="1" applyBorder="1" applyAlignment="1">
      <alignment horizontal="right" vertical="center"/>
    </xf>
    <xf numFmtId="0" fontId="21" fillId="10" borderId="81" xfId="0" applyFont="1" applyFill="1" applyBorder="1" applyAlignment="1">
      <alignment wrapText="1"/>
    </xf>
    <xf numFmtId="3" fontId="21" fillId="10" borderId="82" xfId="0" applyNumberFormat="1" applyFont="1" applyFill="1" applyBorder="1" applyAlignment="1">
      <alignment horizontal="right" vertical="center"/>
    </xf>
    <xf numFmtId="3" fontId="21" fillId="10" borderId="83" xfId="0" applyNumberFormat="1" applyFont="1" applyFill="1" applyBorder="1" applyAlignment="1">
      <alignment horizontal="right" vertical="center"/>
    </xf>
    <xf numFmtId="0" fontId="22" fillId="13" borderId="77" xfId="0" applyFont="1" applyFill="1" applyBorder="1" applyAlignment="1">
      <alignment wrapText="1"/>
    </xf>
    <xf numFmtId="3" fontId="21" fillId="10" borderId="84" xfId="0" applyNumberFormat="1" applyFont="1" applyFill="1" applyBorder="1" applyAlignment="1">
      <alignment horizontal="center"/>
    </xf>
    <xf numFmtId="0" fontId="22" fillId="13" borderId="81" xfId="0" applyFont="1" applyFill="1" applyBorder="1"/>
    <xf numFmtId="3" fontId="11" fillId="0" borderId="14" xfId="0" applyNumberFormat="1" applyFont="1" applyFill="1" applyBorder="1" applyAlignment="1">
      <alignment horizontal="right" vertical="center"/>
    </xf>
    <xf numFmtId="10" fontId="6" fillId="10" borderId="4" xfId="0" applyNumberFormat="1" applyFont="1" applyFill="1" applyBorder="1" applyAlignment="1">
      <alignment horizontal="right" vertical="center"/>
    </xf>
    <xf numFmtId="3" fontId="41" fillId="6" borderId="20" xfId="0" applyNumberFormat="1" applyFont="1" applyFill="1" applyBorder="1" applyAlignment="1">
      <alignment horizontal="center"/>
    </xf>
    <xf numFmtId="165" fontId="41" fillId="6" borderId="20" xfId="0" applyNumberFormat="1" applyFont="1" applyFill="1" applyBorder="1" applyAlignment="1">
      <alignment horizontal="center"/>
    </xf>
    <xf numFmtId="4" fontId="9" fillId="6" borderId="21" xfId="0" applyNumberFormat="1" applyFont="1" applyFill="1" applyBorder="1" applyAlignment="1">
      <alignment horizontal="center"/>
    </xf>
    <xf numFmtId="3" fontId="40" fillId="6" borderId="2" xfId="0" applyNumberFormat="1" applyFont="1" applyFill="1" applyBorder="1" applyAlignment="1">
      <alignment horizontal="center"/>
    </xf>
    <xf numFmtId="0" fontId="29" fillId="0" borderId="59" xfId="0" applyFont="1" applyBorder="1" applyAlignment="1">
      <alignment horizontal="center"/>
    </xf>
    <xf numFmtId="0" fontId="29" fillId="0" borderId="60" xfId="0" applyFont="1" applyBorder="1" applyAlignment="1">
      <alignment horizontal="center"/>
    </xf>
    <xf numFmtId="0" fontId="29" fillId="0" borderId="61" xfId="0" applyFont="1" applyBorder="1" applyAlignment="1">
      <alignment horizontal="center"/>
    </xf>
    <xf numFmtId="0" fontId="23" fillId="0" borderId="0" xfId="0" applyFont="1" applyBorder="1" applyAlignment="1">
      <alignment horizontal="left"/>
    </xf>
    <xf numFmtId="0" fontId="23" fillId="0" borderId="53" xfId="0" applyFont="1" applyBorder="1" applyAlignment="1">
      <alignment horizontal="left"/>
    </xf>
    <xf numFmtId="0" fontId="23" fillId="0" borderId="51" xfId="0" applyFont="1" applyBorder="1" applyAlignment="1">
      <alignment horizontal="left"/>
    </xf>
    <xf numFmtId="0" fontId="23" fillId="0" borderId="52" xfId="0" applyFont="1" applyBorder="1" applyAlignment="1">
      <alignment horizontal="left"/>
    </xf>
    <xf numFmtId="0" fontId="29" fillId="0" borderId="50" xfId="0" applyFont="1" applyBorder="1" applyAlignment="1">
      <alignment horizontal="center" vertical="center" wrapText="1"/>
    </xf>
    <xf numFmtId="0" fontId="29" fillId="0" borderId="51" xfId="0" applyFont="1" applyBorder="1" applyAlignment="1">
      <alignment horizontal="center" vertical="center" wrapText="1"/>
    </xf>
    <xf numFmtId="0" fontId="29" fillId="0" borderId="52" xfId="0" applyFont="1" applyBorder="1" applyAlignment="1">
      <alignment horizontal="center" vertical="center" wrapText="1"/>
    </xf>
    <xf numFmtId="0" fontId="23" fillId="0" borderId="48" xfId="0" applyFont="1" applyBorder="1" applyAlignment="1">
      <alignment horizontal="left"/>
    </xf>
    <xf numFmtId="0" fontId="23" fillId="0" borderId="55" xfId="0" applyFont="1" applyBorder="1" applyAlignment="1">
      <alignment horizontal="left"/>
    </xf>
    <xf numFmtId="0" fontId="28" fillId="0" borderId="0" xfId="4"/>
    <xf numFmtId="0" fontId="28" fillId="0" borderId="0" xfId="4" applyAlignment="1">
      <alignment horizontal="left"/>
    </xf>
    <xf numFmtId="0" fontId="28" fillId="0" borderId="0" xfId="4" applyBorder="1" applyAlignment="1">
      <alignment horizontal="left"/>
    </xf>
    <xf numFmtId="0" fontId="30" fillId="0" borderId="0" xfId="4" applyFont="1" applyBorder="1" applyAlignment="1">
      <alignment horizontal="left"/>
    </xf>
    <xf numFmtId="0" fontId="28" fillId="0" borderId="51" xfId="4" applyBorder="1" applyAlignment="1">
      <alignment horizontal="left"/>
    </xf>
    <xf numFmtId="164" fontId="31" fillId="0" borderId="0" xfId="0" applyNumberFormat="1" applyFont="1" applyFill="1" applyAlignment="1">
      <alignment horizontal="center" vertical="center"/>
    </xf>
    <xf numFmtId="164" fontId="31" fillId="0" borderId="0" xfId="0" applyNumberFormat="1" applyFont="1" applyFill="1" applyBorder="1" applyAlignment="1">
      <alignment horizontal="center" vertical="center"/>
    </xf>
    <xf numFmtId="2" fontId="12" fillId="5" borderId="19" xfId="0" applyNumberFormat="1" applyFont="1" applyFill="1" applyBorder="1" applyAlignment="1">
      <alignment horizontal="left" vertical="center"/>
    </xf>
    <xf numFmtId="2" fontId="12" fillId="5" borderId="20" xfId="0" applyNumberFormat="1" applyFont="1" applyFill="1" applyBorder="1" applyAlignment="1">
      <alignment horizontal="left" vertical="center"/>
    </xf>
    <xf numFmtId="2" fontId="12" fillId="5" borderId="21" xfId="0" applyNumberFormat="1" applyFont="1" applyFill="1" applyBorder="1" applyAlignment="1">
      <alignment horizontal="left" vertical="center"/>
    </xf>
    <xf numFmtId="0" fontId="21" fillId="10" borderId="45" xfId="0" applyFont="1" applyFill="1" applyBorder="1" applyAlignment="1">
      <alignment horizontal="center" vertical="center"/>
    </xf>
    <xf numFmtId="165" fontId="12" fillId="6" borderId="11" xfId="0" applyNumberFormat="1" applyFont="1" applyFill="1" applyBorder="1" applyAlignment="1">
      <alignment horizontal="center"/>
    </xf>
    <xf numFmtId="4" fontId="12" fillId="6" borderId="11" xfId="0" applyNumberFormat="1" applyFont="1" applyFill="1" applyBorder="1" applyAlignment="1">
      <alignment horizontal="center"/>
    </xf>
  </cellXfs>
  <cellStyles count="6">
    <cellStyle name="Hiperlink" xfId="4" builtinId="8"/>
    <cellStyle name="Normal" xfId="0" builtinId="0"/>
    <cellStyle name="Normal 2" xfId="3" xr:uid="{00000000-0005-0000-0000-000002000000}"/>
    <cellStyle name="Normal 3" xfId="5" xr:uid="{00000000-0005-0000-0000-000003000000}"/>
    <cellStyle name="Porcentagem" xfId="1" builtinId="5"/>
    <cellStyle name="Vírgula" xfId="2" builtinId="3"/>
  </cellStyles>
  <dxfs count="0"/>
  <tableStyles count="0" defaultTableStyle="TableStyleMedium2" defaultPivotStyle="PivotStyleLight16"/>
  <colors>
    <mruColors>
      <color rgb="FFFF5050"/>
      <color rgb="FFD49FD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cap="none" spc="2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pt-BR"/>
              <a:t>% de Ocupação Clínica Cirurgica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cap="none" spc="2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pt-B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'% de Ocupação'!$B$1</c:f>
              <c:strCache>
                <c:ptCount val="1"/>
                <c:pt idx="0">
                  <c:v>JAN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tint val="83000"/>
                    <a:shade val="100000"/>
                    <a:satMod val="100000"/>
                  </a:schemeClr>
                </a:gs>
                <a:gs pos="100000">
                  <a:schemeClr val="accent1">
                    <a:tint val="61000"/>
                    <a:alpha val="100000"/>
                    <a:satMod val="180000"/>
                  </a:schemeClr>
                </a:gs>
              </a:gsLst>
              <a:path path="circle">
                <a:fillToRect l="100000" t="100000" r="100000" b="100000"/>
              </a:path>
            </a:gradFill>
            <a:ln w="9525" cap="flat" cmpd="sng" algn="ctr">
              <a:solidFill>
                <a:schemeClr val="accent1">
                  <a:shade val="95000"/>
                </a:schemeClr>
              </a:solidFill>
              <a:round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pt-B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errBars>
            <c:errBarType val="both"/>
            <c:errValType val="stdErr"/>
            <c:noEndCap val="0"/>
            <c:spPr>
              <a:noFill/>
              <a:ln w="9525">
                <a:solidFill>
                  <a:schemeClr val="tx1">
                    <a:lumMod val="50000"/>
                    <a:lumOff val="50000"/>
                  </a:schemeClr>
                </a:solidFill>
              </a:ln>
              <a:effectLst/>
            </c:spPr>
          </c:errBars>
          <c:cat>
            <c:strRef>
              <c:f>'% de Ocupação'!$A$3</c:f>
              <c:strCache>
                <c:ptCount val="1"/>
                <c:pt idx="0">
                  <c:v>Clínica Cirúrgica</c:v>
                </c:pt>
              </c:strCache>
            </c:strRef>
          </c:cat>
          <c:val>
            <c:numRef>
              <c:f>'% de Ocupação'!$B$3</c:f>
              <c:numCache>
                <c:formatCode>0.00%</c:formatCode>
                <c:ptCount val="1"/>
                <c:pt idx="0">
                  <c:v>0.6112903225806452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FC0-401D-A720-419ABF94E250}"/>
            </c:ext>
          </c:extLst>
        </c:ser>
        <c:ser>
          <c:idx val="1"/>
          <c:order val="1"/>
          <c:tx>
            <c:strRef>
              <c:f>'% de Ocupação'!$C$1</c:f>
              <c:strCache>
                <c:ptCount val="1"/>
                <c:pt idx="0">
                  <c:v>FEV</c:v>
                </c:pt>
              </c:strCache>
            </c:strRef>
          </c:tx>
          <c:spPr>
            <a:gradFill rotWithShape="1">
              <a:gsLst>
                <a:gs pos="0">
                  <a:schemeClr val="accent3">
                    <a:tint val="83000"/>
                    <a:shade val="100000"/>
                    <a:satMod val="100000"/>
                  </a:schemeClr>
                </a:gs>
                <a:gs pos="100000">
                  <a:schemeClr val="accent3">
                    <a:tint val="61000"/>
                    <a:alpha val="100000"/>
                    <a:satMod val="180000"/>
                  </a:schemeClr>
                </a:gs>
              </a:gsLst>
              <a:path path="circle">
                <a:fillToRect l="100000" t="100000" r="100000" b="100000"/>
              </a:path>
            </a:gradFill>
            <a:ln w="9525" cap="flat" cmpd="sng" algn="ctr">
              <a:solidFill>
                <a:schemeClr val="accent3">
                  <a:shade val="95000"/>
                </a:schemeClr>
              </a:solidFill>
              <a:round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pt-B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errBars>
            <c:errBarType val="both"/>
            <c:errValType val="stdErr"/>
            <c:noEndCap val="0"/>
            <c:spPr>
              <a:noFill/>
              <a:ln w="9525">
                <a:solidFill>
                  <a:schemeClr val="tx1">
                    <a:lumMod val="50000"/>
                    <a:lumOff val="50000"/>
                  </a:schemeClr>
                </a:solidFill>
              </a:ln>
              <a:effectLst/>
            </c:spPr>
          </c:errBars>
          <c:cat>
            <c:strRef>
              <c:f>'% de Ocupação'!$A$3</c:f>
              <c:strCache>
                <c:ptCount val="1"/>
                <c:pt idx="0">
                  <c:v>Clínica Cirúrgica</c:v>
                </c:pt>
              </c:strCache>
            </c:strRef>
          </c:cat>
          <c:val>
            <c:numRef>
              <c:f>'% de Ocupação'!$C$3</c:f>
              <c:numCache>
                <c:formatCode>0.00%</c:formatCode>
                <c:ptCount val="1"/>
                <c:pt idx="0">
                  <c:v>0.68928571428571428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1FC0-401D-A720-419ABF94E250}"/>
            </c:ext>
          </c:extLst>
        </c:ser>
        <c:ser>
          <c:idx val="2"/>
          <c:order val="2"/>
          <c:tx>
            <c:strRef>
              <c:f>'% de Ocupação'!$D$1</c:f>
              <c:strCache>
                <c:ptCount val="1"/>
                <c:pt idx="0">
                  <c:v>MAR</c:v>
                </c:pt>
              </c:strCache>
            </c:strRef>
          </c:tx>
          <c:spPr>
            <a:gradFill rotWithShape="1">
              <a:gsLst>
                <a:gs pos="0">
                  <a:schemeClr val="accent5">
                    <a:tint val="83000"/>
                    <a:shade val="100000"/>
                    <a:satMod val="100000"/>
                  </a:schemeClr>
                </a:gs>
                <a:gs pos="100000">
                  <a:schemeClr val="accent5">
                    <a:tint val="61000"/>
                    <a:alpha val="100000"/>
                    <a:satMod val="180000"/>
                  </a:schemeClr>
                </a:gs>
              </a:gsLst>
              <a:path path="circle">
                <a:fillToRect l="100000" t="100000" r="100000" b="100000"/>
              </a:path>
            </a:gradFill>
            <a:ln w="9525" cap="flat" cmpd="sng" algn="ctr">
              <a:solidFill>
                <a:schemeClr val="accent5">
                  <a:shade val="95000"/>
                </a:schemeClr>
              </a:solidFill>
              <a:round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pt-B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errBars>
            <c:errBarType val="both"/>
            <c:errValType val="stdErr"/>
            <c:noEndCap val="0"/>
            <c:spPr>
              <a:noFill/>
              <a:ln w="9525">
                <a:solidFill>
                  <a:schemeClr val="tx1">
                    <a:lumMod val="50000"/>
                    <a:lumOff val="50000"/>
                  </a:schemeClr>
                </a:solidFill>
              </a:ln>
              <a:effectLst/>
            </c:spPr>
          </c:errBars>
          <c:cat>
            <c:strRef>
              <c:f>'% de Ocupação'!$A$3</c:f>
              <c:strCache>
                <c:ptCount val="1"/>
                <c:pt idx="0">
                  <c:v>Clínica Cirúrgica</c:v>
                </c:pt>
              </c:strCache>
            </c:strRef>
          </c:cat>
          <c:val>
            <c:numRef>
              <c:f>'% de Ocupação'!$D$3</c:f>
              <c:numCache>
                <c:formatCode>0.00%</c:formatCode>
                <c:ptCount val="1"/>
                <c:pt idx="0">
                  <c:v>0.52983870967741931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1FC0-401D-A720-419ABF94E250}"/>
            </c:ext>
          </c:extLst>
        </c:ser>
        <c:ser>
          <c:idx val="3"/>
          <c:order val="3"/>
          <c:tx>
            <c:strRef>
              <c:f>'% de Ocupação'!$E$1</c:f>
              <c:strCache>
                <c:ptCount val="1"/>
                <c:pt idx="0">
                  <c:v>ABR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lumMod val="60000"/>
                    <a:tint val="83000"/>
                    <a:shade val="100000"/>
                    <a:satMod val="100000"/>
                  </a:schemeClr>
                </a:gs>
                <a:gs pos="100000">
                  <a:schemeClr val="accent1">
                    <a:lumMod val="60000"/>
                    <a:tint val="61000"/>
                    <a:alpha val="100000"/>
                    <a:satMod val="180000"/>
                  </a:schemeClr>
                </a:gs>
              </a:gsLst>
              <a:path path="circle">
                <a:fillToRect l="100000" t="100000" r="100000" b="100000"/>
              </a:path>
            </a:gradFill>
            <a:ln w="9525" cap="flat" cmpd="sng" algn="ctr">
              <a:solidFill>
                <a:schemeClr val="accent1">
                  <a:lumMod val="60000"/>
                  <a:shade val="95000"/>
                </a:schemeClr>
              </a:solidFill>
              <a:round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pt-B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errBars>
            <c:errBarType val="both"/>
            <c:errValType val="stdErr"/>
            <c:noEndCap val="0"/>
            <c:spPr>
              <a:noFill/>
              <a:ln w="9525">
                <a:solidFill>
                  <a:schemeClr val="tx1">
                    <a:lumMod val="50000"/>
                    <a:lumOff val="50000"/>
                  </a:schemeClr>
                </a:solidFill>
              </a:ln>
              <a:effectLst/>
            </c:spPr>
          </c:errBars>
          <c:cat>
            <c:strRef>
              <c:f>'% de Ocupação'!$A$3</c:f>
              <c:strCache>
                <c:ptCount val="1"/>
                <c:pt idx="0">
                  <c:v>Clínica Cirúrgica</c:v>
                </c:pt>
              </c:strCache>
            </c:strRef>
          </c:cat>
          <c:val>
            <c:numRef>
              <c:f>'% de Ocupação'!$E$3</c:f>
              <c:numCache>
                <c:formatCode>0.00%</c:formatCode>
                <c:ptCount val="1"/>
                <c:pt idx="0">
                  <c:v>2.75E-2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1FC0-401D-A720-419ABF94E250}"/>
            </c:ext>
          </c:extLst>
        </c:ser>
        <c:ser>
          <c:idx val="4"/>
          <c:order val="4"/>
          <c:tx>
            <c:strRef>
              <c:f>'% de Ocupação'!$F$1</c:f>
              <c:strCache>
                <c:ptCount val="1"/>
                <c:pt idx="0">
                  <c:v>MAI</c:v>
                </c:pt>
              </c:strCache>
            </c:strRef>
          </c:tx>
          <c:spPr>
            <a:gradFill rotWithShape="1">
              <a:gsLst>
                <a:gs pos="0">
                  <a:schemeClr val="accent3">
                    <a:lumMod val="60000"/>
                    <a:tint val="83000"/>
                    <a:shade val="100000"/>
                    <a:satMod val="100000"/>
                  </a:schemeClr>
                </a:gs>
                <a:gs pos="100000">
                  <a:schemeClr val="accent3">
                    <a:lumMod val="60000"/>
                    <a:tint val="61000"/>
                    <a:alpha val="100000"/>
                    <a:satMod val="180000"/>
                  </a:schemeClr>
                </a:gs>
              </a:gsLst>
              <a:path path="circle">
                <a:fillToRect l="100000" t="100000" r="100000" b="100000"/>
              </a:path>
            </a:gradFill>
            <a:ln w="9525" cap="flat" cmpd="sng" algn="ctr">
              <a:solidFill>
                <a:schemeClr val="accent3">
                  <a:lumMod val="60000"/>
                  <a:shade val="95000"/>
                </a:schemeClr>
              </a:solidFill>
              <a:round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pt-B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errBars>
            <c:errBarType val="both"/>
            <c:errValType val="stdErr"/>
            <c:noEndCap val="0"/>
            <c:spPr>
              <a:noFill/>
              <a:ln w="9525">
                <a:solidFill>
                  <a:schemeClr val="tx1">
                    <a:lumMod val="50000"/>
                    <a:lumOff val="50000"/>
                  </a:schemeClr>
                </a:solidFill>
              </a:ln>
              <a:effectLst/>
            </c:spPr>
          </c:errBars>
          <c:cat>
            <c:strRef>
              <c:f>'% de Ocupação'!$A$3</c:f>
              <c:strCache>
                <c:ptCount val="1"/>
                <c:pt idx="0">
                  <c:v>Clínica Cirúrgica</c:v>
                </c:pt>
              </c:strCache>
            </c:strRef>
          </c:cat>
          <c:val>
            <c:numRef>
              <c:f>'% de Ocupação'!$F$3</c:f>
              <c:numCache>
                <c:formatCode>0.00%</c:formatCode>
                <c:ptCount val="1"/>
                <c:pt idx="0">
                  <c:v>0.63306451612903225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1FC0-401D-A720-419ABF94E250}"/>
            </c:ext>
          </c:extLst>
        </c:ser>
        <c:ser>
          <c:idx val="5"/>
          <c:order val="5"/>
          <c:tx>
            <c:strRef>
              <c:f>'% de Ocupação'!$G$1</c:f>
              <c:strCache>
                <c:ptCount val="1"/>
                <c:pt idx="0">
                  <c:v>JUN</c:v>
                </c:pt>
              </c:strCache>
            </c:strRef>
          </c:tx>
          <c:spPr>
            <a:gradFill rotWithShape="1">
              <a:gsLst>
                <a:gs pos="0">
                  <a:schemeClr val="accent5">
                    <a:lumMod val="60000"/>
                    <a:tint val="83000"/>
                    <a:shade val="100000"/>
                    <a:satMod val="100000"/>
                  </a:schemeClr>
                </a:gs>
                <a:gs pos="100000">
                  <a:schemeClr val="accent5">
                    <a:lumMod val="60000"/>
                    <a:tint val="61000"/>
                    <a:alpha val="100000"/>
                    <a:satMod val="180000"/>
                  </a:schemeClr>
                </a:gs>
              </a:gsLst>
              <a:path path="circle">
                <a:fillToRect l="100000" t="100000" r="100000" b="100000"/>
              </a:path>
            </a:gradFill>
            <a:ln w="9525" cap="flat" cmpd="sng" algn="ctr">
              <a:solidFill>
                <a:schemeClr val="accent5">
                  <a:lumMod val="60000"/>
                  <a:shade val="95000"/>
                </a:schemeClr>
              </a:solidFill>
              <a:round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pt-B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errBars>
            <c:errBarType val="both"/>
            <c:errValType val="stdErr"/>
            <c:noEndCap val="0"/>
            <c:spPr>
              <a:noFill/>
              <a:ln w="9525">
                <a:solidFill>
                  <a:schemeClr val="tx1">
                    <a:lumMod val="50000"/>
                    <a:lumOff val="50000"/>
                  </a:schemeClr>
                </a:solidFill>
              </a:ln>
              <a:effectLst/>
            </c:spPr>
          </c:errBars>
          <c:cat>
            <c:strRef>
              <c:f>'% de Ocupação'!$A$3</c:f>
              <c:strCache>
                <c:ptCount val="1"/>
                <c:pt idx="0">
                  <c:v>Clínica Cirúrgica</c:v>
                </c:pt>
              </c:strCache>
            </c:strRef>
          </c:cat>
          <c:val>
            <c:numRef>
              <c:f>'% de Ocupação'!$G$3</c:f>
              <c:numCache>
                <c:formatCode>0.00%</c:formatCode>
                <c:ptCount val="1"/>
                <c:pt idx="0">
                  <c:v>0.56083333333333329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1FC0-401D-A720-419ABF94E250}"/>
            </c:ext>
          </c:extLst>
        </c:ser>
        <c:ser>
          <c:idx val="6"/>
          <c:order val="6"/>
          <c:tx>
            <c:strRef>
              <c:f>'% de Ocupação'!$H$1</c:f>
              <c:strCache>
                <c:ptCount val="1"/>
                <c:pt idx="0">
                  <c:v>JUL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lumMod val="80000"/>
                    <a:lumOff val="20000"/>
                    <a:tint val="83000"/>
                    <a:shade val="100000"/>
                    <a:satMod val="100000"/>
                  </a:schemeClr>
                </a:gs>
                <a:gs pos="100000">
                  <a:schemeClr val="accent1">
                    <a:lumMod val="80000"/>
                    <a:lumOff val="20000"/>
                    <a:tint val="61000"/>
                    <a:alpha val="100000"/>
                    <a:satMod val="180000"/>
                  </a:schemeClr>
                </a:gs>
              </a:gsLst>
              <a:path path="circle">
                <a:fillToRect l="100000" t="100000" r="100000" b="100000"/>
              </a:path>
            </a:gradFill>
            <a:ln w="9525" cap="flat" cmpd="sng" algn="ctr">
              <a:solidFill>
                <a:schemeClr val="accent1">
                  <a:lumMod val="80000"/>
                  <a:lumOff val="20000"/>
                  <a:shade val="95000"/>
                </a:schemeClr>
              </a:solidFill>
              <a:round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pt-B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errBars>
            <c:errBarType val="both"/>
            <c:errValType val="stdErr"/>
            <c:noEndCap val="0"/>
            <c:spPr>
              <a:noFill/>
              <a:ln w="9525">
                <a:solidFill>
                  <a:schemeClr val="tx1">
                    <a:lumMod val="50000"/>
                    <a:lumOff val="50000"/>
                  </a:schemeClr>
                </a:solidFill>
              </a:ln>
              <a:effectLst/>
            </c:spPr>
          </c:errBars>
          <c:cat>
            <c:strRef>
              <c:f>'% de Ocupação'!$A$3</c:f>
              <c:strCache>
                <c:ptCount val="1"/>
                <c:pt idx="0">
                  <c:v>Clínica Cirúrgica</c:v>
                </c:pt>
              </c:strCache>
            </c:strRef>
          </c:cat>
          <c:val>
            <c:numRef>
              <c:f>'% de Ocupação'!$H$3</c:f>
              <c:numCache>
                <c:formatCode>0.00%</c:formatCode>
                <c:ptCount val="1"/>
                <c:pt idx="0">
                  <c:v>0.57016129032258067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1FC0-401D-A720-419ABF94E250}"/>
            </c:ext>
          </c:extLst>
        </c:ser>
        <c:ser>
          <c:idx val="7"/>
          <c:order val="7"/>
          <c:tx>
            <c:strRef>
              <c:f>'% de Ocupação'!$I$1</c:f>
              <c:strCache>
                <c:ptCount val="1"/>
                <c:pt idx="0">
                  <c:v>AGO</c:v>
                </c:pt>
              </c:strCache>
            </c:strRef>
          </c:tx>
          <c:spPr>
            <a:gradFill rotWithShape="1">
              <a:gsLst>
                <a:gs pos="0">
                  <a:schemeClr val="accent3">
                    <a:lumMod val="80000"/>
                    <a:lumOff val="20000"/>
                    <a:tint val="83000"/>
                    <a:shade val="100000"/>
                    <a:satMod val="100000"/>
                  </a:schemeClr>
                </a:gs>
                <a:gs pos="100000">
                  <a:schemeClr val="accent3">
                    <a:lumMod val="80000"/>
                    <a:lumOff val="20000"/>
                    <a:tint val="61000"/>
                    <a:alpha val="100000"/>
                    <a:satMod val="180000"/>
                  </a:schemeClr>
                </a:gs>
              </a:gsLst>
              <a:path path="circle">
                <a:fillToRect l="100000" t="100000" r="100000" b="100000"/>
              </a:path>
            </a:gradFill>
            <a:ln w="9525" cap="flat" cmpd="sng" algn="ctr">
              <a:solidFill>
                <a:schemeClr val="accent3">
                  <a:lumMod val="80000"/>
                  <a:lumOff val="20000"/>
                  <a:shade val="95000"/>
                </a:schemeClr>
              </a:solidFill>
              <a:round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pt-B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errBars>
            <c:errBarType val="both"/>
            <c:errValType val="stdErr"/>
            <c:noEndCap val="0"/>
            <c:spPr>
              <a:noFill/>
              <a:ln w="9525">
                <a:solidFill>
                  <a:schemeClr val="tx1">
                    <a:lumMod val="50000"/>
                    <a:lumOff val="50000"/>
                  </a:schemeClr>
                </a:solidFill>
              </a:ln>
              <a:effectLst/>
            </c:spPr>
          </c:errBars>
          <c:cat>
            <c:strRef>
              <c:f>'% de Ocupação'!$A$3</c:f>
              <c:strCache>
                <c:ptCount val="1"/>
                <c:pt idx="0">
                  <c:v>Clínica Cirúrgica</c:v>
                </c:pt>
              </c:strCache>
            </c:strRef>
          </c:cat>
          <c:val>
            <c:numRef>
              <c:f>'% de Ocupação'!$I$3</c:f>
              <c:numCache>
                <c:formatCode>0.00%</c:formatCode>
                <c:ptCount val="1"/>
                <c:pt idx="0">
                  <c:v>0.62177419354838714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1FC0-401D-A720-419ABF94E250}"/>
            </c:ext>
          </c:extLst>
        </c:ser>
        <c:ser>
          <c:idx val="8"/>
          <c:order val="8"/>
          <c:tx>
            <c:strRef>
              <c:f>'% de Ocupação'!$J$1</c:f>
              <c:strCache>
                <c:ptCount val="1"/>
                <c:pt idx="0">
                  <c:v>SET</c:v>
                </c:pt>
              </c:strCache>
            </c:strRef>
          </c:tx>
          <c:spPr>
            <a:gradFill rotWithShape="1">
              <a:gsLst>
                <a:gs pos="0">
                  <a:schemeClr val="accent5">
                    <a:lumMod val="80000"/>
                    <a:lumOff val="20000"/>
                    <a:tint val="83000"/>
                    <a:shade val="100000"/>
                    <a:satMod val="100000"/>
                  </a:schemeClr>
                </a:gs>
                <a:gs pos="100000">
                  <a:schemeClr val="accent5">
                    <a:lumMod val="80000"/>
                    <a:lumOff val="20000"/>
                    <a:tint val="61000"/>
                    <a:alpha val="100000"/>
                    <a:satMod val="180000"/>
                  </a:schemeClr>
                </a:gs>
              </a:gsLst>
              <a:path path="circle">
                <a:fillToRect l="100000" t="100000" r="100000" b="100000"/>
              </a:path>
            </a:gradFill>
            <a:ln w="9525" cap="flat" cmpd="sng" algn="ctr">
              <a:solidFill>
                <a:schemeClr val="accent5">
                  <a:lumMod val="80000"/>
                  <a:lumOff val="20000"/>
                  <a:shade val="95000"/>
                </a:schemeClr>
              </a:solidFill>
              <a:round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pt-B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errBars>
            <c:errBarType val="both"/>
            <c:errValType val="stdErr"/>
            <c:noEndCap val="0"/>
            <c:spPr>
              <a:noFill/>
              <a:ln w="9525">
                <a:solidFill>
                  <a:schemeClr val="tx1">
                    <a:lumMod val="50000"/>
                    <a:lumOff val="50000"/>
                  </a:schemeClr>
                </a:solidFill>
              </a:ln>
              <a:effectLst/>
            </c:spPr>
          </c:errBars>
          <c:cat>
            <c:strRef>
              <c:f>'% de Ocupação'!$A$3</c:f>
              <c:strCache>
                <c:ptCount val="1"/>
                <c:pt idx="0">
                  <c:v>Clínica Cirúrgica</c:v>
                </c:pt>
              </c:strCache>
            </c:strRef>
          </c:cat>
          <c:val>
            <c:numRef>
              <c:f>'% de Ocupação'!$J$3</c:f>
              <c:numCache>
                <c:formatCode>0.00%</c:formatCode>
                <c:ptCount val="1"/>
                <c:pt idx="0">
                  <c:v>0.55833333333333335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1FC0-401D-A720-419ABF94E250}"/>
            </c:ext>
          </c:extLst>
        </c:ser>
        <c:ser>
          <c:idx val="9"/>
          <c:order val="9"/>
          <c:tx>
            <c:strRef>
              <c:f>'% de Ocupação'!$K$1</c:f>
              <c:strCache>
                <c:ptCount val="1"/>
                <c:pt idx="0">
                  <c:v>OUT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lumMod val="80000"/>
                    <a:tint val="83000"/>
                    <a:shade val="100000"/>
                    <a:satMod val="100000"/>
                  </a:schemeClr>
                </a:gs>
                <a:gs pos="100000">
                  <a:schemeClr val="accent1">
                    <a:lumMod val="80000"/>
                    <a:tint val="61000"/>
                    <a:alpha val="100000"/>
                    <a:satMod val="180000"/>
                  </a:schemeClr>
                </a:gs>
              </a:gsLst>
              <a:path path="circle">
                <a:fillToRect l="100000" t="100000" r="100000" b="100000"/>
              </a:path>
            </a:gradFill>
            <a:ln w="9525" cap="flat" cmpd="sng" algn="ctr">
              <a:solidFill>
                <a:schemeClr val="accent1">
                  <a:lumMod val="80000"/>
                  <a:shade val="95000"/>
                </a:schemeClr>
              </a:solidFill>
              <a:round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pt-B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errBars>
            <c:errBarType val="both"/>
            <c:errValType val="stdErr"/>
            <c:noEndCap val="0"/>
            <c:spPr>
              <a:noFill/>
              <a:ln w="9525">
                <a:solidFill>
                  <a:schemeClr val="tx1">
                    <a:lumMod val="50000"/>
                    <a:lumOff val="50000"/>
                  </a:schemeClr>
                </a:solidFill>
              </a:ln>
              <a:effectLst/>
            </c:spPr>
          </c:errBars>
          <c:cat>
            <c:strRef>
              <c:f>'% de Ocupação'!$A$3</c:f>
              <c:strCache>
                <c:ptCount val="1"/>
                <c:pt idx="0">
                  <c:v>Clínica Cirúrgica</c:v>
                </c:pt>
              </c:strCache>
            </c:strRef>
          </c:cat>
          <c:val>
            <c:numRef>
              <c:f>'% de Ocupação'!$K$3</c:f>
              <c:numCache>
                <c:formatCode>0.00%</c:formatCode>
                <c:ptCount val="1"/>
                <c:pt idx="0">
                  <c:v>0.59758064516129028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1FC0-401D-A720-419ABF94E250}"/>
            </c:ext>
          </c:extLst>
        </c:ser>
        <c:ser>
          <c:idx val="10"/>
          <c:order val="10"/>
          <c:tx>
            <c:strRef>
              <c:f>'% de Ocupação'!$L$1</c:f>
              <c:strCache>
                <c:ptCount val="1"/>
                <c:pt idx="0">
                  <c:v>NOV</c:v>
                </c:pt>
              </c:strCache>
            </c:strRef>
          </c:tx>
          <c:spPr>
            <a:gradFill rotWithShape="1">
              <a:gsLst>
                <a:gs pos="0">
                  <a:schemeClr val="accent3">
                    <a:lumMod val="80000"/>
                    <a:tint val="83000"/>
                    <a:shade val="100000"/>
                    <a:satMod val="100000"/>
                  </a:schemeClr>
                </a:gs>
                <a:gs pos="100000">
                  <a:schemeClr val="accent3">
                    <a:lumMod val="80000"/>
                    <a:tint val="61000"/>
                    <a:alpha val="100000"/>
                    <a:satMod val="180000"/>
                  </a:schemeClr>
                </a:gs>
              </a:gsLst>
              <a:path path="circle">
                <a:fillToRect l="100000" t="100000" r="100000" b="100000"/>
              </a:path>
            </a:gradFill>
            <a:ln w="9525" cap="flat" cmpd="sng" algn="ctr">
              <a:solidFill>
                <a:schemeClr val="accent3">
                  <a:lumMod val="80000"/>
                  <a:shade val="95000"/>
                </a:schemeClr>
              </a:solidFill>
              <a:round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pt-B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errBars>
            <c:errBarType val="both"/>
            <c:errValType val="stdErr"/>
            <c:noEndCap val="0"/>
            <c:spPr>
              <a:noFill/>
              <a:ln w="9525">
                <a:solidFill>
                  <a:schemeClr val="tx1">
                    <a:lumMod val="50000"/>
                    <a:lumOff val="50000"/>
                  </a:schemeClr>
                </a:solidFill>
              </a:ln>
              <a:effectLst/>
            </c:spPr>
          </c:errBars>
          <c:cat>
            <c:strRef>
              <c:f>'% de Ocupação'!$A$3</c:f>
              <c:strCache>
                <c:ptCount val="1"/>
                <c:pt idx="0">
                  <c:v>Clínica Cirúrgica</c:v>
                </c:pt>
              </c:strCache>
            </c:strRef>
          </c:cat>
          <c:val>
            <c:numRef>
              <c:f>'% de Ocupação'!$L$3</c:f>
              <c:numCache>
                <c:formatCode>0.00%</c:formatCode>
                <c:ptCount val="1"/>
                <c:pt idx="0">
                  <c:v>0.6825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1FC0-401D-A720-419ABF94E250}"/>
            </c:ext>
          </c:extLst>
        </c:ser>
        <c:ser>
          <c:idx val="11"/>
          <c:order val="11"/>
          <c:tx>
            <c:strRef>
              <c:f>'% de Ocupação'!$M$1</c:f>
              <c:strCache>
                <c:ptCount val="1"/>
                <c:pt idx="0">
                  <c:v>DEZ</c:v>
                </c:pt>
              </c:strCache>
            </c:strRef>
          </c:tx>
          <c:spPr>
            <a:gradFill rotWithShape="1">
              <a:gsLst>
                <a:gs pos="0">
                  <a:schemeClr val="accent5">
                    <a:lumMod val="80000"/>
                    <a:tint val="83000"/>
                    <a:shade val="100000"/>
                    <a:satMod val="100000"/>
                  </a:schemeClr>
                </a:gs>
                <a:gs pos="100000">
                  <a:schemeClr val="accent5">
                    <a:lumMod val="80000"/>
                    <a:tint val="61000"/>
                    <a:alpha val="100000"/>
                    <a:satMod val="180000"/>
                  </a:schemeClr>
                </a:gs>
              </a:gsLst>
              <a:path path="circle">
                <a:fillToRect l="100000" t="100000" r="100000" b="100000"/>
              </a:path>
            </a:gradFill>
            <a:ln w="9525" cap="flat" cmpd="sng" algn="ctr">
              <a:solidFill>
                <a:schemeClr val="accent5">
                  <a:lumMod val="80000"/>
                  <a:shade val="95000"/>
                </a:schemeClr>
              </a:solidFill>
              <a:round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pt-B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errBars>
            <c:errBarType val="both"/>
            <c:errValType val="stdErr"/>
            <c:noEndCap val="0"/>
            <c:spPr>
              <a:noFill/>
              <a:ln w="9525">
                <a:solidFill>
                  <a:schemeClr val="tx1">
                    <a:lumMod val="50000"/>
                    <a:lumOff val="50000"/>
                  </a:schemeClr>
                </a:solidFill>
              </a:ln>
              <a:effectLst/>
            </c:spPr>
          </c:errBars>
          <c:cat>
            <c:strRef>
              <c:f>'% de Ocupação'!$A$3</c:f>
              <c:strCache>
                <c:ptCount val="1"/>
                <c:pt idx="0">
                  <c:v>Clínica Cirúrgica</c:v>
                </c:pt>
              </c:strCache>
            </c:strRef>
          </c:cat>
          <c:val>
            <c:numRef>
              <c:f>'% de Ocupação'!$M$3</c:f>
              <c:numCache>
                <c:formatCode>0.00%</c:formatCode>
                <c:ptCount val="1"/>
                <c:pt idx="0">
                  <c:v>0.61048387096774193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B-1FC0-401D-A720-419ABF94E250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overlap val="-24"/>
        <c:axId val="527623480"/>
        <c:axId val="527625048"/>
      </c:barChart>
      <c:catAx>
        <c:axId val="527623480"/>
        <c:scaling>
          <c:orientation val="minMax"/>
        </c:scaling>
        <c:delete val="1"/>
        <c:axPos val="b"/>
        <c:numFmt formatCode="General" sourceLinked="1"/>
        <c:majorTickMark val="none"/>
        <c:minorTickMark val="none"/>
        <c:tickLblPos val="nextTo"/>
        <c:crossAx val="527625048"/>
        <c:crosses val="autoZero"/>
        <c:auto val="1"/>
        <c:lblAlgn val="ctr"/>
        <c:lblOffset val="100"/>
        <c:noMultiLvlLbl val="0"/>
      </c:catAx>
      <c:valAx>
        <c:axId val="527625048"/>
        <c:scaling>
          <c:orientation val="minMax"/>
          <c:max val="1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pt-BR"/>
          </a:p>
        </c:txPr>
        <c:crossAx val="52762348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1" i="0" u="none" strike="noStrike" kern="12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pt-B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 b="1">
          <a:solidFill>
            <a:schemeClr val="tx1"/>
          </a:solidFill>
          <a:latin typeface="Arial" panose="020B0604020202020204" pitchFamily="34" charset="0"/>
          <a:cs typeface="Arial" panose="020B0604020202020204" pitchFamily="34" charset="0"/>
        </a:defRPr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cap="none" spc="2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pt-BR"/>
              <a:t>% de Ocupação Clínica Médica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cap="none" spc="2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pt-BR"/>
        </a:p>
      </c:txPr>
    </c:title>
    <c:autoTitleDeleted val="0"/>
    <c:plotArea>
      <c:layout>
        <c:manualLayout>
          <c:layoutTarget val="inner"/>
          <c:xMode val="edge"/>
          <c:yMode val="edge"/>
          <c:x val="0.14120921983825435"/>
          <c:y val="0.1732165472525436"/>
          <c:w val="0.83598251216459663"/>
          <c:h val="0.6685809454186015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'% de Ocupação'!$B$1</c:f>
              <c:strCache>
                <c:ptCount val="1"/>
                <c:pt idx="0">
                  <c:v>JAN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tint val="83000"/>
                    <a:shade val="100000"/>
                    <a:satMod val="100000"/>
                  </a:schemeClr>
                </a:gs>
                <a:gs pos="100000">
                  <a:schemeClr val="accent1">
                    <a:tint val="61000"/>
                    <a:alpha val="100000"/>
                    <a:satMod val="180000"/>
                  </a:schemeClr>
                </a:gs>
              </a:gsLst>
              <a:path path="circle">
                <a:fillToRect l="100000" t="100000" r="100000" b="100000"/>
              </a:path>
            </a:gradFill>
            <a:ln w="9525" cap="flat" cmpd="sng" algn="ctr">
              <a:solidFill>
                <a:schemeClr val="accent1">
                  <a:shade val="95000"/>
                </a:schemeClr>
              </a:solidFill>
              <a:round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pt-B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errBars>
            <c:errBarType val="both"/>
            <c:errValType val="stdErr"/>
            <c:noEndCap val="0"/>
            <c:spPr>
              <a:noFill/>
              <a:ln w="9525">
                <a:solidFill>
                  <a:schemeClr val="tx1">
                    <a:lumMod val="50000"/>
                    <a:lumOff val="50000"/>
                  </a:schemeClr>
                </a:solidFill>
              </a:ln>
              <a:effectLst/>
            </c:spPr>
          </c:errBars>
          <c:cat>
            <c:strRef>
              <c:f>'% de Ocupação'!$A$4</c:f>
              <c:strCache>
                <c:ptCount val="1"/>
                <c:pt idx="0">
                  <c:v>Clínica Médica</c:v>
                </c:pt>
              </c:strCache>
            </c:strRef>
          </c:cat>
          <c:val>
            <c:numRef>
              <c:f>'% de Ocupação'!$B$4</c:f>
              <c:numCache>
                <c:formatCode>0.00%</c:formatCode>
                <c:ptCount val="1"/>
                <c:pt idx="0">
                  <c:v>0.74032258064516132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3E0-40BB-BB5F-6BA04BCD65FB}"/>
            </c:ext>
          </c:extLst>
        </c:ser>
        <c:ser>
          <c:idx val="1"/>
          <c:order val="1"/>
          <c:tx>
            <c:strRef>
              <c:f>'% de Ocupação'!$C$1</c:f>
              <c:strCache>
                <c:ptCount val="1"/>
                <c:pt idx="0">
                  <c:v>FEV</c:v>
                </c:pt>
              </c:strCache>
            </c:strRef>
          </c:tx>
          <c:spPr>
            <a:gradFill rotWithShape="1">
              <a:gsLst>
                <a:gs pos="0">
                  <a:schemeClr val="accent3">
                    <a:tint val="83000"/>
                    <a:shade val="100000"/>
                    <a:satMod val="100000"/>
                  </a:schemeClr>
                </a:gs>
                <a:gs pos="100000">
                  <a:schemeClr val="accent3">
                    <a:tint val="61000"/>
                    <a:alpha val="100000"/>
                    <a:satMod val="180000"/>
                  </a:schemeClr>
                </a:gs>
              </a:gsLst>
              <a:path path="circle">
                <a:fillToRect l="100000" t="100000" r="100000" b="100000"/>
              </a:path>
            </a:gradFill>
            <a:ln w="9525" cap="flat" cmpd="sng" algn="ctr">
              <a:solidFill>
                <a:schemeClr val="accent3">
                  <a:shade val="95000"/>
                </a:schemeClr>
              </a:solidFill>
              <a:round/>
            </a:ln>
            <a:effectLst/>
          </c:spPr>
          <c:invertIfNegative val="0"/>
          <c:dLbls>
            <c:dLbl>
              <c:idx val="0"/>
              <c:layout>
                <c:manualLayout>
                  <c:x val="-2.6134171842549951E-17"/>
                  <c:y val="1.8680673739826733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73E0-40BB-BB5F-6BA04BCD65FB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pt-B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errBars>
            <c:errBarType val="both"/>
            <c:errValType val="stdErr"/>
            <c:noEndCap val="0"/>
            <c:spPr>
              <a:noFill/>
              <a:ln w="9525">
                <a:solidFill>
                  <a:schemeClr val="tx1">
                    <a:lumMod val="50000"/>
                    <a:lumOff val="50000"/>
                  </a:schemeClr>
                </a:solidFill>
              </a:ln>
              <a:effectLst/>
            </c:spPr>
          </c:errBars>
          <c:cat>
            <c:strRef>
              <c:f>'% de Ocupação'!$A$4</c:f>
              <c:strCache>
                <c:ptCount val="1"/>
                <c:pt idx="0">
                  <c:v>Clínica Médica</c:v>
                </c:pt>
              </c:strCache>
            </c:strRef>
          </c:cat>
          <c:val>
            <c:numRef>
              <c:f>'% de Ocupação'!$C$4</c:f>
              <c:numCache>
                <c:formatCode>0.00%</c:formatCode>
                <c:ptCount val="1"/>
                <c:pt idx="0">
                  <c:v>0.8303571428571429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73E0-40BB-BB5F-6BA04BCD65FB}"/>
            </c:ext>
          </c:extLst>
        </c:ser>
        <c:ser>
          <c:idx val="2"/>
          <c:order val="2"/>
          <c:tx>
            <c:strRef>
              <c:f>'% de Ocupação'!$D$1</c:f>
              <c:strCache>
                <c:ptCount val="1"/>
                <c:pt idx="0">
                  <c:v>MAR</c:v>
                </c:pt>
              </c:strCache>
            </c:strRef>
          </c:tx>
          <c:spPr>
            <a:gradFill rotWithShape="1">
              <a:gsLst>
                <a:gs pos="0">
                  <a:schemeClr val="accent5">
                    <a:tint val="83000"/>
                    <a:shade val="100000"/>
                    <a:satMod val="100000"/>
                  </a:schemeClr>
                </a:gs>
                <a:gs pos="100000">
                  <a:schemeClr val="accent5">
                    <a:tint val="61000"/>
                    <a:alpha val="100000"/>
                    <a:satMod val="180000"/>
                  </a:schemeClr>
                </a:gs>
              </a:gsLst>
              <a:path path="circle">
                <a:fillToRect l="100000" t="100000" r="100000" b="100000"/>
              </a:path>
            </a:gradFill>
            <a:ln w="9525" cap="flat" cmpd="sng" algn="ctr">
              <a:solidFill>
                <a:schemeClr val="accent5">
                  <a:shade val="95000"/>
                </a:schemeClr>
              </a:solidFill>
              <a:round/>
            </a:ln>
            <a:effectLst/>
          </c:spPr>
          <c:invertIfNegative val="0"/>
          <c:dLbls>
            <c:dLbl>
              <c:idx val="0"/>
              <c:layout>
                <c:manualLayout>
                  <c:x val="0"/>
                  <c:y val="-4.6701684349567101E-3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73E0-40BB-BB5F-6BA04BCD65FB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pt-B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errBars>
            <c:errBarType val="both"/>
            <c:errValType val="stdErr"/>
            <c:noEndCap val="0"/>
            <c:spPr>
              <a:noFill/>
              <a:ln w="9525">
                <a:solidFill>
                  <a:schemeClr val="tx1">
                    <a:lumMod val="50000"/>
                    <a:lumOff val="50000"/>
                  </a:schemeClr>
                </a:solidFill>
              </a:ln>
              <a:effectLst/>
            </c:spPr>
          </c:errBars>
          <c:cat>
            <c:strRef>
              <c:f>'% de Ocupação'!$A$4</c:f>
              <c:strCache>
                <c:ptCount val="1"/>
                <c:pt idx="0">
                  <c:v>Clínica Médica</c:v>
                </c:pt>
              </c:strCache>
            </c:strRef>
          </c:cat>
          <c:val>
            <c:numRef>
              <c:f>'% de Ocupação'!$D$4</c:f>
              <c:numCache>
                <c:formatCode>0.00%</c:formatCode>
                <c:ptCount val="1"/>
                <c:pt idx="0">
                  <c:v>0.74193548387096775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73E0-40BB-BB5F-6BA04BCD65FB}"/>
            </c:ext>
          </c:extLst>
        </c:ser>
        <c:ser>
          <c:idx val="3"/>
          <c:order val="3"/>
          <c:tx>
            <c:strRef>
              <c:f>'% de Ocupação'!$E$1</c:f>
              <c:strCache>
                <c:ptCount val="1"/>
                <c:pt idx="0">
                  <c:v>ABR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lumMod val="60000"/>
                    <a:tint val="83000"/>
                    <a:shade val="100000"/>
                    <a:satMod val="100000"/>
                  </a:schemeClr>
                </a:gs>
                <a:gs pos="100000">
                  <a:schemeClr val="accent1">
                    <a:lumMod val="60000"/>
                    <a:tint val="61000"/>
                    <a:alpha val="100000"/>
                    <a:satMod val="180000"/>
                  </a:schemeClr>
                </a:gs>
              </a:gsLst>
              <a:path path="circle">
                <a:fillToRect l="100000" t="100000" r="100000" b="100000"/>
              </a:path>
            </a:gradFill>
            <a:ln w="9525" cap="flat" cmpd="sng" algn="ctr">
              <a:solidFill>
                <a:schemeClr val="accent1">
                  <a:lumMod val="60000"/>
                  <a:shade val="95000"/>
                </a:schemeClr>
              </a:solidFill>
              <a:round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pt-B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errBars>
            <c:errBarType val="both"/>
            <c:errValType val="stdErr"/>
            <c:noEndCap val="0"/>
            <c:spPr>
              <a:noFill/>
              <a:ln w="9525">
                <a:solidFill>
                  <a:schemeClr val="tx1">
                    <a:lumMod val="50000"/>
                    <a:lumOff val="50000"/>
                  </a:schemeClr>
                </a:solidFill>
              </a:ln>
              <a:effectLst/>
            </c:spPr>
          </c:errBars>
          <c:cat>
            <c:strRef>
              <c:f>'% de Ocupação'!$A$4</c:f>
              <c:strCache>
                <c:ptCount val="1"/>
                <c:pt idx="0">
                  <c:v>Clínica Médica</c:v>
                </c:pt>
              </c:strCache>
            </c:strRef>
          </c:cat>
          <c:val>
            <c:numRef>
              <c:f>'% de Ocupação'!$E$4</c:f>
              <c:numCache>
                <c:formatCode>0.00%</c:formatCode>
                <c:ptCount val="1"/>
                <c:pt idx="0">
                  <c:v>1.4566666666666668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73E0-40BB-BB5F-6BA04BCD65FB}"/>
            </c:ext>
          </c:extLst>
        </c:ser>
        <c:ser>
          <c:idx val="4"/>
          <c:order val="4"/>
          <c:tx>
            <c:strRef>
              <c:f>'% de Ocupação'!$F$1</c:f>
              <c:strCache>
                <c:ptCount val="1"/>
                <c:pt idx="0">
                  <c:v>MAI</c:v>
                </c:pt>
              </c:strCache>
            </c:strRef>
          </c:tx>
          <c:spPr>
            <a:gradFill rotWithShape="1">
              <a:gsLst>
                <a:gs pos="0">
                  <a:schemeClr val="accent3">
                    <a:lumMod val="60000"/>
                    <a:tint val="83000"/>
                    <a:shade val="100000"/>
                    <a:satMod val="100000"/>
                  </a:schemeClr>
                </a:gs>
                <a:gs pos="100000">
                  <a:schemeClr val="accent3">
                    <a:lumMod val="60000"/>
                    <a:tint val="61000"/>
                    <a:alpha val="100000"/>
                    <a:satMod val="180000"/>
                  </a:schemeClr>
                </a:gs>
              </a:gsLst>
              <a:path path="circle">
                <a:fillToRect l="100000" t="100000" r="100000" b="100000"/>
              </a:path>
            </a:gradFill>
            <a:ln w="9525" cap="flat" cmpd="sng" algn="ctr">
              <a:solidFill>
                <a:schemeClr val="accent3">
                  <a:lumMod val="60000"/>
                  <a:shade val="95000"/>
                </a:schemeClr>
              </a:solidFill>
              <a:round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pt-B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errBars>
            <c:errBarType val="both"/>
            <c:errValType val="stdErr"/>
            <c:noEndCap val="0"/>
            <c:spPr>
              <a:noFill/>
              <a:ln w="9525">
                <a:solidFill>
                  <a:schemeClr val="tx1">
                    <a:lumMod val="50000"/>
                    <a:lumOff val="50000"/>
                  </a:schemeClr>
                </a:solidFill>
              </a:ln>
              <a:effectLst/>
            </c:spPr>
          </c:errBars>
          <c:cat>
            <c:strRef>
              <c:f>'% de Ocupação'!$A$4</c:f>
              <c:strCache>
                <c:ptCount val="1"/>
                <c:pt idx="0">
                  <c:v>Clínica Médica</c:v>
                </c:pt>
              </c:strCache>
            </c:strRef>
          </c:cat>
          <c:val>
            <c:numRef>
              <c:f>'% de Ocupação'!$F$4</c:f>
              <c:numCache>
                <c:formatCode>0.00%</c:formatCode>
                <c:ptCount val="1"/>
                <c:pt idx="0">
                  <c:v>0.80161290322580647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73E0-40BB-BB5F-6BA04BCD65FB}"/>
            </c:ext>
          </c:extLst>
        </c:ser>
        <c:ser>
          <c:idx val="5"/>
          <c:order val="5"/>
          <c:tx>
            <c:strRef>
              <c:f>'% de Ocupação'!$G$1</c:f>
              <c:strCache>
                <c:ptCount val="1"/>
                <c:pt idx="0">
                  <c:v>JUN</c:v>
                </c:pt>
              </c:strCache>
            </c:strRef>
          </c:tx>
          <c:spPr>
            <a:gradFill rotWithShape="1">
              <a:gsLst>
                <a:gs pos="0">
                  <a:schemeClr val="accent5">
                    <a:lumMod val="60000"/>
                    <a:tint val="83000"/>
                    <a:shade val="100000"/>
                    <a:satMod val="100000"/>
                  </a:schemeClr>
                </a:gs>
                <a:gs pos="100000">
                  <a:schemeClr val="accent5">
                    <a:lumMod val="60000"/>
                    <a:tint val="61000"/>
                    <a:alpha val="100000"/>
                    <a:satMod val="180000"/>
                  </a:schemeClr>
                </a:gs>
              </a:gsLst>
              <a:path path="circle">
                <a:fillToRect l="100000" t="100000" r="100000" b="100000"/>
              </a:path>
            </a:gradFill>
            <a:ln w="9525" cap="flat" cmpd="sng" algn="ctr">
              <a:solidFill>
                <a:schemeClr val="accent5">
                  <a:lumMod val="60000"/>
                  <a:shade val="95000"/>
                </a:schemeClr>
              </a:solidFill>
              <a:round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pt-B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errBars>
            <c:errBarType val="both"/>
            <c:errValType val="stdErr"/>
            <c:noEndCap val="0"/>
            <c:spPr>
              <a:noFill/>
              <a:ln w="9525">
                <a:solidFill>
                  <a:schemeClr val="tx1">
                    <a:lumMod val="50000"/>
                    <a:lumOff val="50000"/>
                  </a:schemeClr>
                </a:solidFill>
              </a:ln>
              <a:effectLst/>
            </c:spPr>
          </c:errBars>
          <c:cat>
            <c:strRef>
              <c:f>'% de Ocupação'!$A$4</c:f>
              <c:strCache>
                <c:ptCount val="1"/>
                <c:pt idx="0">
                  <c:v>Clínica Médica</c:v>
                </c:pt>
              </c:strCache>
            </c:strRef>
          </c:cat>
          <c:val>
            <c:numRef>
              <c:f>'% de Ocupação'!$G$4</c:f>
              <c:numCache>
                <c:formatCode>0.00%</c:formatCode>
                <c:ptCount val="1"/>
                <c:pt idx="0">
                  <c:v>0.83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73E0-40BB-BB5F-6BA04BCD65FB}"/>
            </c:ext>
          </c:extLst>
        </c:ser>
        <c:ser>
          <c:idx val="6"/>
          <c:order val="6"/>
          <c:tx>
            <c:strRef>
              <c:f>'% de Ocupação'!$H$1</c:f>
              <c:strCache>
                <c:ptCount val="1"/>
                <c:pt idx="0">
                  <c:v>JUL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lumMod val="80000"/>
                    <a:lumOff val="20000"/>
                    <a:tint val="83000"/>
                    <a:shade val="100000"/>
                    <a:satMod val="100000"/>
                  </a:schemeClr>
                </a:gs>
                <a:gs pos="100000">
                  <a:schemeClr val="accent1">
                    <a:lumMod val="80000"/>
                    <a:lumOff val="20000"/>
                    <a:tint val="61000"/>
                    <a:alpha val="100000"/>
                    <a:satMod val="180000"/>
                  </a:schemeClr>
                </a:gs>
              </a:gsLst>
              <a:path path="circle">
                <a:fillToRect l="100000" t="100000" r="100000" b="100000"/>
              </a:path>
            </a:gradFill>
            <a:ln w="9525" cap="flat" cmpd="sng" algn="ctr">
              <a:solidFill>
                <a:schemeClr val="accent1">
                  <a:lumMod val="80000"/>
                  <a:lumOff val="20000"/>
                  <a:shade val="95000"/>
                </a:schemeClr>
              </a:solidFill>
              <a:round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pt-B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errBars>
            <c:errBarType val="both"/>
            <c:errValType val="stdErr"/>
            <c:noEndCap val="0"/>
            <c:spPr>
              <a:noFill/>
              <a:ln w="9525">
                <a:solidFill>
                  <a:schemeClr val="tx1">
                    <a:lumMod val="50000"/>
                    <a:lumOff val="50000"/>
                  </a:schemeClr>
                </a:solidFill>
              </a:ln>
              <a:effectLst/>
            </c:spPr>
          </c:errBars>
          <c:cat>
            <c:strRef>
              <c:f>'% de Ocupação'!$A$4</c:f>
              <c:strCache>
                <c:ptCount val="1"/>
                <c:pt idx="0">
                  <c:v>Clínica Médica</c:v>
                </c:pt>
              </c:strCache>
            </c:strRef>
          </c:cat>
          <c:val>
            <c:numRef>
              <c:f>'% de Ocupação'!$H$4</c:f>
              <c:numCache>
                <c:formatCode>0.00%</c:formatCode>
                <c:ptCount val="1"/>
                <c:pt idx="0">
                  <c:v>0.8354838709677419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73E0-40BB-BB5F-6BA04BCD65FB}"/>
            </c:ext>
          </c:extLst>
        </c:ser>
        <c:ser>
          <c:idx val="7"/>
          <c:order val="7"/>
          <c:tx>
            <c:strRef>
              <c:f>'% de Ocupação'!$I$1</c:f>
              <c:strCache>
                <c:ptCount val="1"/>
                <c:pt idx="0">
                  <c:v>AGO</c:v>
                </c:pt>
              </c:strCache>
            </c:strRef>
          </c:tx>
          <c:spPr>
            <a:gradFill rotWithShape="1">
              <a:gsLst>
                <a:gs pos="0">
                  <a:schemeClr val="accent3">
                    <a:lumMod val="80000"/>
                    <a:lumOff val="20000"/>
                    <a:tint val="83000"/>
                    <a:shade val="100000"/>
                    <a:satMod val="100000"/>
                  </a:schemeClr>
                </a:gs>
                <a:gs pos="100000">
                  <a:schemeClr val="accent3">
                    <a:lumMod val="80000"/>
                    <a:lumOff val="20000"/>
                    <a:tint val="61000"/>
                    <a:alpha val="100000"/>
                    <a:satMod val="180000"/>
                  </a:schemeClr>
                </a:gs>
              </a:gsLst>
              <a:path path="circle">
                <a:fillToRect l="100000" t="100000" r="100000" b="100000"/>
              </a:path>
            </a:gradFill>
            <a:ln w="9525" cap="flat" cmpd="sng" algn="ctr">
              <a:solidFill>
                <a:schemeClr val="accent3">
                  <a:lumMod val="80000"/>
                  <a:lumOff val="20000"/>
                  <a:shade val="95000"/>
                </a:schemeClr>
              </a:solidFill>
              <a:round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pt-B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errBars>
            <c:errBarType val="both"/>
            <c:errValType val="stdErr"/>
            <c:noEndCap val="0"/>
            <c:spPr>
              <a:noFill/>
              <a:ln w="9525">
                <a:solidFill>
                  <a:schemeClr val="tx1">
                    <a:lumMod val="50000"/>
                    <a:lumOff val="50000"/>
                  </a:schemeClr>
                </a:solidFill>
              </a:ln>
              <a:effectLst/>
            </c:spPr>
          </c:errBars>
          <c:cat>
            <c:strRef>
              <c:f>'% de Ocupação'!$A$4</c:f>
              <c:strCache>
                <c:ptCount val="1"/>
                <c:pt idx="0">
                  <c:v>Clínica Médica</c:v>
                </c:pt>
              </c:strCache>
            </c:strRef>
          </c:cat>
          <c:val>
            <c:numRef>
              <c:f>'% de Ocupação'!$I$4</c:f>
              <c:numCache>
                <c:formatCode>0.00%</c:formatCode>
                <c:ptCount val="1"/>
                <c:pt idx="0">
                  <c:v>0.75806451612903225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73E0-40BB-BB5F-6BA04BCD65FB}"/>
            </c:ext>
          </c:extLst>
        </c:ser>
        <c:ser>
          <c:idx val="8"/>
          <c:order val="8"/>
          <c:tx>
            <c:strRef>
              <c:f>'% de Ocupação'!$J$1</c:f>
              <c:strCache>
                <c:ptCount val="1"/>
                <c:pt idx="0">
                  <c:v>SET</c:v>
                </c:pt>
              </c:strCache>
            </c:strRef>
          </c:tx>
          <c:spPr>
            <a:gradFill rotWithShape="1">
              <a:gsLst>
                <a:gs pos="0">
                  <a:schemeClr val="accent5">
                    <a:lumMod val="80000"/>
                    <a:lumOff val="20000"/>
                    <a:tint val="83000"/>
                    <a:shade val="100000"/>
                    <a:satMod val="100000"/>
                  </a:schemeClr>
                </a:gs>
                <a:gs pos="100000">
                  <a:schemeClr val="accent5">
                    <a:lumMod val="80000"/>
                    <a:lumOff val="20000"/>
                    <a:tint val="61000"/>
                    <a:alpha val="100000"/>
                    <a:satMod val="180000"/>
                  </a:schemeClr>
                </a:gs>
              </a:gsLst>
              <a:path path="circle">
                <a:fillToRect l="100000" t="100000" r="100000" b="100000"/>
              </a:path>
            </a:gradFill>
            <a:ln w="9525" cap="flat" cmpd="sng" algn="ctr">
              <a:solidFill>
                <a:schemeClr val="accent5">
                  <a:lumMod val="80000"/>
                  <a:lumOff val="20000"/>
                  <a:shade val="95000"/>
                </a:schemeClr>
              </a:solidFill>
              <a:round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pt-B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errBars>
            <c:errBarType val="both"/>
            <c:errValType val="stdErr"/>
            <c:noEndCap val="0"/>
            <c:spPr>
              <a:noFill/>
              <a:ln w="9525">
                <a:solidFill>
                  <a:schemeClr val="tx1">
                    <a:lumMod val="50000"/>
                    <a:lumOff val="50000"/>
                  </a:schemeClr>
                </a:solidFill>
              </a:ln>
              <a:effectLst/>
            </c:spPr>
          </c:errBars>
          <c:cat>
            <c:strRef>
              <c:f>'% de Ocupação'!$A$4</c:f>
              <c:strCache>
                <c:ptCount val="1"/>
                <c:pt idx="0">
                  <c:v>Clínica Médica</c:v>
                </c:pt>
              </c:strCache>
            </c:strRef>
          </c:cat>
          <c:val>
            <c:numRef>
              <c:f>'% de Ocupação'!$J$4</c:f>
              <c:numCache>
                <c:formatCode>0.00%</c:formatCode>
                <c:ptCount val="1"/>
                <c:pt idx="0">
                  <c:v>0.88833333333333331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73E0-40BB-BB5F-6BA04BCD65FB}"/>
            </c:ext>
          </c:extLst>
        </c:ser>
        <c:ser>
          <c:idx val="9"/>
          <c:order val="9"/>
          <c:tx>
            <c:strRef>
              <c:f>'% de Ocupação'!$K$1</c:f>
              <c:strCache>
                <c:ptCount val="1"/>
                <c:pt idx="0">
                  <c:v>OUT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lumMod val="80000"/>
                    <a:tint val="83000"/>
                    <a:shade val="100000"/>
                    <a:satMod val="100000"/>
                  </a:schemeClr>
                </a:gs>
                <a:gs pos="100000">
                  <a:schemeClr val="accent1">
                    <a:lumMod val="80000"/>
                    <a:tint val="61000"/>
                    <a:alpha val="100000"/>
                    <a:satMod val="180000"/>
                  </a:schemeClr>
                </a:gs>
              </a:gsLst>
              <a:path path="circle">
                <a:fillToRect l="100000" t="100000" r="100000" b="100000"/>
              </a:path>
            </a:gradFill>
            <a:ln w="9525" cap="flat" cmpd="sng" algn="ctr">
              <a:solidFill>
                <a:schemeClr val="accent1">
                  <a:lumMod val="80000"/>
                  <a:shade val="95000"/>
                </a:schemeClr>
              </a:solidFill>
              <a:round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pt-B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errBars>
            <c:errBarType val="both"/>
            <c:errValType val="stdErr"/>
            <c:noEndCap val="0"/>
            <c:spPr>
              <a:noFill/>
              <a:ln w="9525">
                <a:solidFill>
                  <a:schemeClr val="tx1">
                    <a:lumMod val="50000"/>
                    <a:lumOff val="50000"/>
                  </a:schemeClr>
                </a:solidFill>
              </a:ln>
              <a:effectLst/>
            </c:spPr>
          </c:errBars>
          <c:cat>
            <c:strRef>
              <c:f>'% de Ocupação'!$A$4</c:f>
              <c:strCache>
                <c:ptCount val="1"/>
                <c:pt idx="0">
                  <c:v>Clínica Médica</c:v>
                </c:pt>
              </c:strCache>
            </c:strRef>
          </c:cat>
          <c:val>
            <c:numRef>
              <c:f>'% de Ocupação'!$K$4</c:f>
              <c:numCache>
                <c:formatCode>0.00%</c:formatCode>
                <c:ptCount val="1"/>
                <c:pt idx="0">
                  <c:v>0.8612903225806452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B-73E0-40BB-BB5F-6BA04BCD65FB}"/>
            </c:ext>
          </c:extLst>
        </c:ser>
        <c:ser>
          <c:idx val="10"/>
          <c:order val="10"/>
          <c:tx>
            <c:strRef>
              <c:f>'% de Ocupação'!$L$1</c:f>
              <c:strCache>
                <c:ptCount val="1"/>
                <c:pt idx="0">
                  <c:v>NOV</c:v>
                </c:pt>
              </c:strCache>
            </c:strRef>
          </c:tx>
          <c:spPr>
            <a:gradFill rotWithShape="1">
              <a:gsLst>
                <a:gs pos="0">
                  <a:schemeClr val="accent3">
                    <a:lumMod val="80000"/>
                    <a:tint val="83000"/>
                    <a:shade val="100000"/>
                    <a:satMod val="100000"/>
                  </a:schemeClr>
                </a:gs>
                <a:gs pos="100000">
                  <a:schemeClr val="accent3">
                    <a:lumMod val="80000"/>
                    <a:tint val="61000"/>
                    <a:alpha val="100000"/>
                    <a:satMod val="180000"/>
                  </a:schemeClr>
                </a:gs>
              </a:gsLst>
              <a:path path="circle">
                <a:fillToRect l="100000" t="100000" r="100000" b="100000"/>
              </a:path>
            </a:gradFill>
            <a:ln w="9525" cap="flat" cmpd="sng" algn="ctr">
              <a:solidFill>
                <a:schemeClr val="accent3">
                  <a:lumMod val="80000"/>
                  <a:shade val="95000"/>
                </a:schemeClr>
              </a:solidFill>
              <a:round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pt-B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errBars>
            <c:errBarType val="both"/>
            <c:errValType val="stdErr"/>
            <c:noEndCap val="0"/>
            <c:spPr>
              <a:noFill/>
              <a:ln w="9525">
                <a:solidFill>
                  <a:schemeClr val="tx1">
                    <a:lumMod val="50000"/>
                    <a:lumOff val="50000"/>
                  </a:schemeClr>
                </a:solidFill>
              </a:ln>
              <a:effectLst/>
            </c:spPr>
          </c:errBars>
          <c:cat>
            <c:strRef>
              <c:f>'% de Ocupação'!$A$4</c:f>
              <c:strCache>
                <c:ptCount val="1"/>
                <c:pt idx="0">
                  <c:v>Clínica Médica</c:v>
                </c:pt>
              </c:strCache>
            </c:strRef>
          </c:cat>
          <c:val>
            <c:numRef>
              <c:f>'% de Ocupação'!$L$4</c:f>
              <c:numCache>
                <c:formatCode>0.00%</c:formatCode>
                <c:ptCount val="1"/>
                <c:pt idx="0">
                  <c:v>0.85166666666666668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C-73E0-40BB-BB5F-6BA04BCD65FB}"/>
            </c:ext>
          </c:extLst>
        </c:ser>
        <c:ser>
          <c:idx val="11"/>
          <c:order val="11"/>
          <c:tx>
            <c:strRef>
              <c:f>'% de Ocupação'!$M$1</c:f>
              <c:strCache>
                <c:ptCount val="1"/>
                <c:pt idx="0">
                  <c:v>DEZ</c:v>
                </c:pt>
              </c:strCache>
            </c:strRef>
          </c:tx>
          <c:spPr>
            <a:gradFill rotWithShape="1">
              <a:gsLst>
                <a:gs pos="0">
                  <a:schemeClr val="accent5">
                    <a:lumMod val="80000"/>
                    <a:tint val="83000"/>
                    <a:shade val="100000"/>
                    <a:satMod val="100000"/>
                  </a:schemeClr>
                </a:gs>
                <a:gs pos="100000">
                  <a:schemeClr val="accent5">
                    <a:lumMod val="80000"/>
                    <a:tint val="61000"/>
                    <a:alpha val="100000"/>
                    <a:satMod val="180000"/>
                  </a:schemeClr>
                </a:gs>
              </a:gsLst>
              <a:path path="circle">
                <a:fillToRect l="100000" t="100000" r="100000" b="100000"/>
              </a:path>
            </a:gradFill>
            <a:ln w="9525" cap="flat" cmpd="sng" algn="ctr">
              <a:solidFill>
                <a:schemeClr val="accent5">
                  <a:lumMod val="80000"/>
                  <a:shade val="95000"/>
                </a:schemeClr>
              </a:solidFill>
              <a:round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pt-B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errBars>
            <c:errBarType val="both"/>
            <c:errValType val="stdErr"/>
            <c:noEndCap val="0"/>
            <c:spPr>
              <a:noFill/>
              <a:ln w="9525">
                <a:solidFill>
                  <a:schemeClr val="tx1">
                    <a:lumMod val="50000"/>
                    <a:lumOff val="50000"/>
                  </a:schemeClr>
                </a:solidFill>
              </a:ln>
              <a:effectLst/>
            </c:spPr>
          </c:errBars>
          <c:cat>
            <c:strRef>
              <c:f>'% de Ocupação'!$A$4</c:f>
              <c:strCache>
                <c:ptCount val="1"/>
                <c:pt idx="0">
                  <c:v>Clínica Médica</c:v>
                </c:pt>
              </c:strCache>
            </c:strRef>
          </c:cat>
          <c:val>
            <c:numRef>
              <c:f>'% de Ocupação'!$M$4</c:f>
              <c:numCache>
                <c:formatCode>0.00%</c:formatCode>
                <c:ptCount val="1"/>
                <c:pt idx="0">
                  <c:v>0.86612903225806448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D-73E0-40BB-BB5F-6BA04BCD65FB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overlap val="-24"/>
        <c:axId val="503254912"/>
        <c:axId val="503252952"/>
      </c:barChart>
      <c:catAx>
        <c:axId val="503254912"/>
        <c:scaling>
          <c:orientation val="minMax"/>
        </c:scaling>
        <c:delete val="1"/>
        <c:axPos val="b"/>
        <c:numFmt formatCode="General" sourceLinked="1"/>
        <c:majorTickMark val="none"/>
        <c:minorTickMark val="none"/>
        <c:tickLblPos val="nextTo"/>
        <c:crossAx val="503252952"/>
        <c:crosses val="autoZero"/>
        <c:auto val="1"/>
        <c:lblAlgn val="ctr"/>
        <c:lblOffset val="100"/>
        <c:noMultiLvlLbl val="0"/>
      </c:catAx>
      <c:valAx>
        <c:axId val="503252952"/>
        <c:scaling>
          <c:orientation val="minMax"/>
          <c:max val="1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pt-BR"/>
          </a:p>
        </c:txPr>
        <c:crossAx val="50325491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1" i="0" u="none" strike="noStrike" kern="12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pt-B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 b="1">
          <a:solidFill>
            <a:schemeClr val="tx1"/>
          </a:solidFill>
          <a:latin typeface="Arial" panose="020B0604020202020204" pitchFamily="34" charset="0"/>
          <a:cs typeface="Arial" panose="020B0604020202020204" pitchFamily="34" charset="0"/>
        </a:defRPr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cap="none" spc="2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pt-BR"/>
              <a:t>% de Ocupação UTI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cap="none" spc="2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pt-B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'% de Ocupação'!$B$1</c:f>
              <c:strCache>
                <c:ptCount val="1"/>
                <c:pt idx="0">
                  <c:v>JAN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tint val="83000"/>
                    <a:shade val="100000"/>
                    <a:satMod val="100000"/>
                  </a:schemeClr>
                </a:gs>
                <a:gs pos="100000">
                  <a:schemeClr val="accent1">
                    <a:tint val="61000"/>
                    <a:alpha val="100000"/>
                    <a:satMod val="180000"/>
                  </a:schemeClr>
                </a:gs>
              </a:gsLst>
              <a:path path="circle">
                <a:fillToRect l="100000" t="100000" r="100000" b="100000"/>
              </a:path>
            </a:gradFill>
            <a:ln w="9525" cap="flat" cmpd="sng" algn="ctr">
              <a:solidFill>
                <a:schemeClr val="accent1">
                  <a:shade val="95000"/>
                </a:schemeClr>
              </a:solidFill>
              <a:round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pt-B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errBars>
            <c:errBarType val="both"/>
            <c:errValType val="stdErr"/>
            <c:noEndCap val="0"/>
            <c:spPr>
              <a:noFill/>
              <a:ln w="9525">
                <a:solidFill>
                  <a:schemeClr val="tx1">
                    <a:lumMod val="50000"/>
                    <a:lumOff val="50000"/>
                  </a:schemeClr>
                </a:solidFill>
              </a:ln>
              <a:effectLst/>
            </c:spPr>
          </c:errBars>
          <c:cat>
            <c:strRef>
              <c:f>'% de Ocupação'!$A$5</c:f>
              <c:strCache>
                <c:ptCount val="1"/>
                <c:pt idx="0">
                  <c:v>UTI Adulto</c:v>
                </c:pt>
              </c:strCache>
            </c:strRef>
          </c:cat>
          <c:val>
            <c:numRef>
              <c:f>'% de Ocupação'!$B$5</c:f>
              <c:numCache>
                <c:formatCode>0.00%</c:formatCode>
                <c:ptCount val="1"/>
                <c:pt idx="0">
                  <c:v>0.50645161290322582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4D4-4434-B514-FA296507670F}"/>
            </c:ext>
          </c:extLst>
        </c:ser>
        <c:ser>
          <c:idx val="1"/>
          <c:order val="1"/>
          <c:tx>
            <c:strRef>
              <c:f>'% de Ocupação'!$C$1</c:f>
              <c:strCache>
                <c:ptCount val="1"/>
                <c:pt idx="0">
                  <c:v>FEV</c:v>
                </c:pt>
              </c:strCache>
            </c:strRef>
          </c:tx>
          <c:spPr>
            <a:gradFill rotWithShape="1">
              <a:gsLst>
                <a:gs pos="0">
                  <a:schemeClr val="accent3">
                    <a:tint val="83000"/>
                    <a:shade val="100000"/>
                    <a:satMod val="100000"/>
                  </a:schemeClr>
                </a:gs>
                <a:gs pos="100000">
                  <a:schemeClr val="accent3">
                    <a:tint val="61000"/>
                    <a:alpha val="100000"/>
                    <a:satMod val="180000"/>
                  </a:schemeClr>
                </a:gs>
              </a:gsLst>
              <a:path path="circle">
                <a:fillToRect l="100000" t="100000" r="100000" b="100000"/>
              </a:path>
            </a:gradFill>
            <a:ln w="9525" cap="flat" cmpd="sng" algn="ctr">
              <a:solidFill>
                <a:schemeClr val="accent3">
                  <a:shade val="95000"/>
                </a:schemeClr>
              </a:solidFill>
              <a:round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pt-B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errBars>
            <c:errBarType val="both"/>
            <c:errValType val="stdErr"/>
            <c:noEndCap val="0"/>
            <c:spPr>
              <a:noFill/>
              <a:ln w="9525">
                <a:solidFill>
                  <a:schemeClr val="tx1">
                    <a:lumMod val="50000"/>
                    <a:lumOff val="50000"/>
                  </a:schemeClr>
                </a:solidFill>
              </a:ln>
              <a:effectLst/>
            </c:spPr>
          </c:errBars>
          <c:cat>
            <c:strRef>
              <c:f>'% de Ocupação'!$A$5</c:f>
              <c:strCache>
                <c:ptCount val="1"/>
                <c:pt idx="0">
                  <c:v>UTI Adulto</c:v>
                </c:pt>
              </c:strCache>
            </c:strRef>
          </c:cat>
          <c:val>
            <c:numRef>
              <c:f>'% de Ocupação'!$C$5</c:f>
              <c:numCache>
                <c:formatCode>0.00%</c:formatCode>
                <c:ptCount val="1"/>
                <c:pt idx="0">
                  <c:v>0.56428571428571428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24D4-4434-B514-FA296507670F}"/>
            </c:ext>
          </c:extLst>
        </c:ser>
        <c:ser>
          <c:idx val="2"/>
          <c:order val="2"/>
          <c:tx>
            <c:strRef>
              <c:f>'% de Ocupação'!$D$1</c:f>
              <c:strCache>
                <c:ptCount val="1"/>
                <c:pt idx="0">
                  <c:v>MAR</c:v>
                </c:pt>
              </c:strCache>
            </c:strRef>
          </c:tx>
          <c:spPr>
            <a:gradFill rotWithShape="1">
              <a:gsLst>
                <a:gs pos="0">
                  <a:schemeClr val="accent5">
                    <a:tint val="83000"/>
                    <a:shade val="100000"/>
                    <a:satMod val="100000"/>
                  </a:schemeClr>
                </a:gs>
                <a:gs pos="100000">
                  <a:schemeClr val="accent5">
                    <a:tint val="61000"/>
                    <a:alpha val="100000"/>
                    <a:satMod val="180000"/>
                  </a:schemeClr>
                </a:gs>
              </a:gsLst>
              <a:path path="circle">
                <a:fillToRect l="100000" t="100000" r="100000" b="100000"/>
              </a:path>
            </a:gradFill>
            <a:ln w="9525" cap="flat" cmpd="sng" algn="ctr">
              <a:solidFill>
                <a:schemeClr val="accent5">
                  <a:shade val="95000"/>
                </a:schemeClr>
              </a:solidFill>
              <a:round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pt-B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errBars>
            <c:errBarType val="both"/>
            <c:errValType val="stdErr"/>
            <c:noEndCap val="0"/>
            <c:spPr>
              <a:noFill/>
              <a:ln w="9525">
                <a:solidFill>
                  <a:schemeClr val="tx1">
                    <a:lumMod val="50000"/>
                    <a:lumOff val="50000"/>
                  </a:schemeClr>
                </a:solidFill>
              </a:ln>
              <a:effectLst/>
            </c:spPr>
          </c:errBars>
          <c:cat>
            <c:strRef>
              <c:f>'% de Ocupação'!$A$5</c:f>
              <c:strCache>
                <c:ptCount val="1"/>
                <c:pt idx="0">
                  <c:v>UTI Adulto</c:v>
                </c:pt>
              </c:strCache>
            </c:strRef>
          </c:cat>
          <c:val>
            <c:numRef>
              <c:f>'% de Ocupação'!$D$5</c:f>
              <c:numCache>
                <c:formatCode>0.00%</c:formatCode>
                <c:ptCount val="1"/>
                <c:pt idx="0">
                  <c:v>0.75806451612903225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24D4-4434-B514-FA296507670F}"/>
            </c:ext>
          </c:extLst>
        </c:ser>
        <c:ser>
          <c:idx val="3"/>
          <c:order val="3"/>
          <c:tx>
            <c:strRef>
              <c:f>'% de Ocupação'!$E$1</c:f>
              <c:strCache>
                <c:ptCount val="1"/>
                <c:pt idx="0">
                  <c:v>ABR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lumMod val="60000"/>
                    <a:tint val="83000"/>
                    <a:shade val="100000"/>
                    <a:satMod val="100000"/>
                  </a:schemeClr>
                </a:gs>
                <a:gs pos="100000">
                  <a:schemeClr val="accent1">
                    <a:lumMod val="60000"/>
                    <a:tint val="61000"/>
                    <a:alpha val="100000"/>
                    <a:satMod val="180000"/>
                  </a:schemeClr>
                </a:gs>
              </a:gsLst>
              <a:path path="circle">
                <a:fillToRect l="100000" t="100000" r="100000" b="100000"/>
              </a:path>
            </a:gradFill>
            <a:ln w="9525" cap="flat" cmpd="sng" algn="ctr">
              <a:solidFill>
                <a:schemeClr val="accent1">
                  <a:lumMod val="60000"/>
                  <a:shade val="95000"/>
                </a:schemeClr>
              </a:solidFill>
              <a:round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pt-B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errBars>
            <c:errBarType val="both"/>
            <c:errValType val="stdErr"/>
            <c:noEndCap val="0"/>
            <c:spPr>
              <a:noFill/>
              <a:ln w="9525">
                <a:solidFill>
                  <a:schemeClr val="tx1">
                    <a:lumMod val="50000"/>
                    <a:lumOff val="50000"/>
                  </a:schemeClr>
                </a:solidFill>
              </a:ln>
              <a:effectLst/>
            </c:spPr>
          </c:errBars>
          <c:cat>
            <c:strRef>
              <c:f>'% de Ocupação'!$A$5</c:f>
              <c:strCache>
                <c:ptCount val="1"/>
                <c:pt idx="0">
                  <c:v>UTI Adulto</c:v>
                </c:pt>
              </c:strCache>
            </c:strRef>
          </c:cat>
          <c:val>
            <c:numRef>
              <c:f>'% de Ocupação'!$E$5</c:f>
              <c:numCache>
                <c:formatCode>0.00%</c:formatCode>
                <c:ptCount val="1"/>
                <c:pt idx="0">
                  <c:v>0.72333333333333338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24D4-4434-B514-FA296507670F}"/>
            </c:ext>
          </c:extLst>
        </c:ser>
        <c:ser>
          <c:idx val="4"/>
          <c:order val="4"/>
          <c:tx>
            <c:strRef>
              <c:f>'% de Ocupação'!$F$1</c:f>
              <c:strCache>
                <c:ptCount val="1"/>
                <c:pt idx="0">
                  <c:v>MAI</c:v>
                </c:pt>
              </c:strCache>
            </c:strRef>
          </c:tx>
          <c:spPr>
            <a:gradFill rotWithShape="1">
              <a:gsLst>
                <a:gs pos="0">
                  <a:schemeClr val="accent3">
                    <a:lumMod val="60000"/>
                    <a:tint val="83000"/>
                    <a:shade val="100000"/>
                    <a:satMod val="100000"/>
                  </a:schemeClr>
                </a:gs>
                <a:gs pos="100000">
                  <a:schemeClr val="accent3">
                    <a:lumMod val="60000"/>
                    <a:tint val="61000"/>
                    <a:alpha val="100000"/>
                    <a:satMod val="180000"/>
                  </a:schemeClr>
                </a:gs>
              </a:gsLst>
              <a:path path="circle">
                <a:fillToRect l="100000" t="100000" r="100000" b="100000"/>
              </a:path>
            </a:gradFill>
            <a:ln w="9525" cap="flat" cmpd="sng" algn="ctr">
              <a:solidFill>
                <a:schemeClr val="accent3">
                  <a:lumMod val="60000"/>
                  <a:shade val="95000"/>
                </a:schemeClr>
              </a:solidFill>
              <a:round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pt-B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errBars>
            <c:errBarType val="both"/>
            <c:errValType val="stdErr"/>
            <c:noEndCap val="0"/>
            <c:spPr>
              <a:noFill/>
              <a:ln w="9525">
                <a:solidFill>
                  <a:schemeClr val="tx1">
                    <a:lumMod val="50000"/>
                    <a:lumOff val="50000"/>
                  </a:schemeClr>
                </a:solidFill>
              </a:ln>
              <a:effectLst/>
            </c:spPr>
          </c:errBars>
          <c:cat>
            <c:strRef>
              <c:f>'% de Ocupação'!$A$5</c:f>
              <c:strCache>
                <c:ptCount val="1"/>
                <c:pt idx="0">
                  <c:v>UTI Adulto</c:v>
                </c:pt>
              </c:strCache>
            </c:strRef>
          </c:cat>
          <c:val>
            <c:numRef>
              <c:f>'% de Ocupação'!$F$5</c:f>
              <c:numCache>
                <c:formatCode>0.00%</c:formatCode>
                <c:ptCount val="1"/>
                <c:pt idx="0">
                  <c:v>0.60967741935483866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24D4-4434-B514-FA296507670F}"/>
            </c:ext>
          </c:extLst>
        </c:ser>
        <c:ser>
          <c:idx val="5"/>
          <c:order val="5"/>
          <c:tx>
            <c:strRef>
              <c:f>'% de Ocupação'!$G$1</c:f>
              <c:strCache>
                <c:ptCount val="1"/>
                <c:pt idx="0">
                  <c:v>JUN</c:v>
                </c:pt>
              </c:strCache>
            </c:strRef>
          </c:tx>
          <c:spPr>
            <a:gradFill rotWithShape="1">
              <a:gsLst>
                <a:gs pos="0">
                  <a:schemeClr val="accent5">
                    <a:lumMod val="60000"/>
                    <a:tint val="83000"/>
                    <a:shade val="100000"/>
                    <a:satMod val="100000"/>
                  </a:schemeClr>
                </a:gs>
                <a:gs pos="100000">
                  <a:schemeClr val="accent5">
                    <a:lumMod val="60000"/>
                    <a:tint val="61000"/>
                    <a:alpha val="100000"/>
                    <a:satMod val="180000"/>
                  </a:schemeClr>
                </a:gs>
              </a:gsLst>
              <a:path path="circle">
                <a:fillToRect l="100000" t="100000" r="100000" b="100000"/>
              </a:path>
            </a:gradFill>
            <a:ln w="9525" cap="flat" cmpd="sng" algn="ctr">
              <a:solidFill>
                <a:schemeClr val="accent5">
                  <a:lumMod val="60000"/>
                  <a:shade val="95000"/>
                </a:schemeClr>
              </a:solidFill>
              <a:round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pt-B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errBars>
            <c:errBarType val="both"/>
            <c:errValType val="stdErr"/>
            <c:noEndCap val="0"/>
            <c:spPr>
              <a:noFill/>
              <a:ln w="9525">
                <a:solidFill>
                  <a:schemeClr val="tx1">
                    <a:lumMod val="50000"/>
                    <a:lumOff val="50000"/>
                  </a:schemeClr>
                </a:solidFill>
              </a:ln>
              <a:effectLst/>
            </c:spPr>
          </c:errBars>
          <c:cat>
            <c:strRef>
              <c:f>'% de Ocupação'!$A$5</c:f>
              <c:strCache>
                <c:ptCount val="1"/>
                <c:pt idx="0">
                  <c:v>UTI Adulto</c:v>
                </c:pt>
              </c:strCache>
            </c:strRef>
          </c:cat>
          <c:val>
            <c:numRef>
              <c:f>'% de Ocupação'!$G$5</c:f>
              <c:numCache>
                <c:formatCode>0.00%</c:formatCode>
                <c:ptCount val="1"/>
                <c:pt idx="0">
                  <c:v>0.57666666666666666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24D4-4434-B514-FA296507670F}"/>
            </c:ext>
          </c:extLst>
        </c:ser>
        <c:ser>
          <c:idx val="6"/>
          <c:order val="6"/>
          <c:tx>
            <c:strRef>
              <c:f>'% de Ocupação'!$H$1</c:f>
              <c:strCache>
                <c:ptCount val="1"/>
                <c:pt idx="0">
                  <c:v>JUL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lumMod val="80000"/>
                    <a:lumOff val="20000"/>
                    <a:tint val="83000"/>
                    <a:shade val="100000"/>
                    <a:satMod val="100000"/>
                  </a:schemeClr>
                </a:gs>
                <a:gs pos="100000">
                  <a:schemeClr val="accent1">
                    <a:lumMod val="80000"/>
                    <a:lumOff val="20000"/>
                    <a:tint val="61000"/>
                    <a:alpha val="100000"/>
                    <a:satMod val="180000"/>
                  </a:schemeClr>
                </a:gs>
              </a:gsLst>
              <a:path path="circle">
                <a:fillToRect l="100000" t="100000" r="100000" b="100000"/>
              </a:path>
            </a:gradFill>
            <a:ln w="9525" cap="flat" cmpd="sng" algn="ctr">
              <a:solidFill>
                <a:schemeClr val="accent1">
                  <a:lumMod val="80000"/>
                  <a:lumOff val="20000"/>
                  <a:shade val="95000"/>
                </a:schemeClr>
              </a:solidFill>
              <a:round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pt-B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errBars>
            <c:errBarType val="both"/>
            <c:errValType val="stdErr"/>
            <c:noEndCap val="0"/>
            <c:spPr>
              <a:noFill/>
              <a:ln w="9525">
                <a:solidFill>
                  <a:schemeClr val="tx1">
                    <a:lumMod val="50000"/>
                    <a:lumOff val="50000"/>
                  </a:schemeClr>
                </a:solidFill>
              </a:ln>
              <a:effectLst/>
            </c:spPr>
          </c:errBars>
          <c:cat>
            <c:strRef>
              <c:f>'% de Ocupação'!$A$5</c:f>
              <c:strCache>
                <c:ptCount val="1"/>
                <c:pt idx="0">
                  <c:v>UTI Adulto</c:v>
                </c:pt>
              </c:strCache>
            </c:strRef>
          </c:cat>
          <c:val>
            <c:numRef>
              <c:f>'% de Ocupação'!$H$5</c:f>
              <c:numCache>
                <c:formatCode>0.00%</c:formatCode>
                <c:ptCount val="1"/>
                <c:pt idx="0">
                  <c:v>0.6064516129032258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24D4-4434-B514-FA296507670F}"/>
            </c:ext>
          </c:extLst>
        </c:ser>
        <c:ser>
          <c:idx val="7"/>
          <c:order val="7"/>
          <c:tx>
            <c:strRef>
              <c:f>'% de Ocupação'!$I$1</c:f>
              <c:strCache>
                <c:ptCount val="1"/>
                <c:pt idx="0">
                  <c:v>AGO</c:v>
                </c:pt>
              </c:strCache>
            </c:strRef>
          </c:tx>
          <c:spPr>
            <a:gradFill rotWithShape="1">
              <a:gsLst>
                <a:gs pos="0">
                  <a:schemeClr val="accent3">
                    <a:lumMod val="80000"/>
                    <a:lumOff val="20000"/>
                    <a:tint val="83000"/>
                    <a:shade val="100000"/>
                    <a:satMod val="100000"/>
                  </a:schemeClr>
                </a:gs>
                <a:gs pos="100000">
                  <a:schemeClr val="accent3">
                    <a:lumMod val="80000"/>
                    <a:lumOff val="20000"/>
                    <a:tint val="61000"/>
                    <a:alpha val="100000"/>
                    <a:satMod val="180000"/>
                  </a:schemeClr>
                </a:gs>
              </a:gsLst>
              <a:path path="circle">
                <a:fillToRect l="100000" t="100000" r="100000" b="100000"/>
              </a:path>
            </a:gradFill>
            <a:ln w="9525" cap="flat" cmpd="sng" algn="ctr">
              <a:solidFill>
                <a:schemeClr val="accent3">
                  <a:lumMod val="80000"/>
                  <a:lumOff val="20000"/>
                  <a:shade val="95000"/>
                </a:schemeClr>
              </a:solidFill>
              <a:round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pt-B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errBars>
            <c:errBarType val="both"/>
            <c:errValType val="stdErr"/>
            <c:noEndCap val="0"/>
            <c:spPr>
              <a:noFill/>
              <a:ln w="9525">
                <a:solidFill>
                  <a:schemeClr val="tx1">
                    <a:lumMod val="50000"/>
                    <a:lumOff val="50000"/>
                  </a:schemeClr>
                </a:solidFill>
              </a:ln>
              <a:effectLst/>
            </c:spPr>
          </c:errBars>
          <c:cat>
            <c:strRef>
              <c:f>'% de Ocupação'!$A$5</c:f>
              <c:strCache>
                <c:ptCount val="1"/>
                <c:pt idx="0">
                  <c:v>UTI Adulto</c:v>
                </c:pt>
              </c:strCache>
            </c:strRef>
          </c:cat>
          <c:val>
            <c:numRef>
              <c:f>'% de Ocupação'!$I$5</c:f>
              <c:numCache>
                <c:formatCode>0.00%</c:formatCode>
                <c:ptCount val="1"/>
                <c:pt idx="0">
                  <c:v>0.59677419354838712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24D4-4434-B514-FA296507670F}"/>
            </c:ext>
          </c:extLst>
        </c:ser>
        <c:ser>
          <c:idx val="8"/>
          <c:order val="8"/>
          <c:tx>
            <c:strRef>
              <c:f>'% de Ocupação'!$J$1</c:f>
              <c:strCache>
                <c:ptCount val="1"/>
                <c:pt idx="0">
                  <c:v>SET</c:v>
                </c:pt>
              </c:strCache>
            </c:strRef>
          </c:tx>
          <c:spPr>
            <a:gradFill rotWithShape="1">
              <a:gsLst>
                <a:gs pos="0">
                  <a:schemeClr val="accent5">
                    <a:lumMod val="80000"/>
                    <a:lumOff val="20000"/>
                    <a:tint val="83000"/>
                    <a:shade val="100000"/>
                    <a:satMod val="100000"/>
                  </a:schemeClr>
                </a:gs>
                <a:gs pos="100000">
                  <a:schemeClr val="accent5">
                    <a:lumMod val="80000"/>
                    <a:lumOff val="20000"/>
                    <a:tint val="61000"/>
                    <a:alpha val="100000"/>
                    <a:satMod val="180000"/>
                  </a:schemeClr>
                </a:gs>
              </a:gsLst>
              <a:path path="circle">
                <a:fillToRect l="100000" t="100000" r="100000" b="100000"/>
              </a:path>
            </a:gradFill>
            <a:ln w="9525" cap="flat" cmpd="sng" algn="ctr">
              <a:solidFill>
                <a:schemeClr val="accent5">
                  <a:lumMod val="80000"/>
                  <a:lumOff val="20000"/>
                  <a:shade val="95000"/>
                </a:schemeClr>
              </a:solidFill>
              <a:round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pt-B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errBars>
            <c:errBarType val="both"/>
            <c:errValType val="stdErr"/>
            <c:noEndCap val="0"/>
            <c:spPr>
              <a:noFill/>
              <a:ln w="9525">
                <a:solidFill>
                  <a:schemeClr val="tx1">
                    <a:lumMod val="50000"/>
                    <a:lumOff val="50000"/>
                  </a:schemeClr>
                </a:solidFill>
              </a:ln>
              <a:effectLst/>
            </c:spPr>
          </c:errBars>
          <c:cat>
            <c:strRef>
              <c:f>'% de Ocupação'!$A$5</c:f>
              <c:strCache>
                <c:ptCount val="1"/>
                <c:pt idx="0">
                  <c:v>UTI Adulto</c:v>
                </c:pt>
              </c:strCache>
            </c:strRef>
          </c:cat>
          <c:val>
            <c:numRef>
              <c:f>'% de Ocupação'!$J$5</c:f>
              <c:numCache>
                <c:formatCode>0.00%</c:formatCode>
                <c:ptCount val="1"/>
                <c:pt idx="0">
                  <c:v>0.56000000000000005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24D4-4434-B514-FA296507670F}"/>
            </c:ext>
          </c:extLst>
        </c:ser>
        <c:ser>
          <c:idx val="9"/>
          <c:order val="9"/>
          <c:tx>
            <c:strRef>
              <c:f>'% de Ocupação'!$K$1</c:f>
              <c:strCache>
                <c:ptCount val="1"/>
                <c:pt idx="0">
                  <c:v>OUT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lumMod val="80000"/>
                    <a:tint val="83000"/>
                    <a:shade val="100000"/>
                    <a:satMod val="100000"/>
                  </a:schemeClr>
                </a:gs>
                <a:gs pos="100000">
                  <a:schemeClr val="accent1">
                    <a:lumMod val="80000"/>
                    <a:tint val="61000"/>
                    <a:alpha val="100000"/>
                    <a:satMod val="180000"/>
                  </a:schemeClr>
                </a:gs>
              </a:gsLst>
              <a:path path="circle">
                <a:fillToRect l="100000" t="100000" r="100000" b="100000"/>
              </a:path>
            </a:gradFill>
            <a:ln w="9525" cap="flat" cmpd="sng" algn="ctr">
              <a:solidFill>
                <a:schemeClr val="accent1">
                  <a:lumMod val="80000"/>
                  <a:shade val="95000"/>
                </a:schemeClr>
              </a:solidFill>
              <a:round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pt-B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errBars>
            <c:errBarType val="both"/>
            <c:errValType val="stdErr"/>
            <c:noEndCap val="0"/>
            <c:spPr>
              <a:noFill/>
              <a:ln w="9525">
                <a:solidFill>
                  <a:schemeClr val="tx1">
                    <a:lumMod val="50000"/>
                    <a:lumOff val="50000"/>
                  </a:schemeClr>
                </a:solidFill>
              </a:ln>
              <a:effectLst/>
            </c:spPr>
          </c:errBars>
          <c:cat>
            <c:strRef>
              <c:f>'% de Ocupação'!$A$5</c:f>
              <c:strCache>
                <c:ptCount val="1"/>
                <c:pt idx="0">
                  <c:v>UTI Adulto</c:v>
                </c:pt>
              </c:strCache>
            </c:strRef>
          </c:cat>
          <c:val>
            <c:numRef>
              <c:f>'% de Ocupação'!$K$5</c:f>
              <c:numCache>
                <c:formatCode>0.00%</c:formatCode>
                <c:ptCount val="1"/>
                <c:pt idx="0">
                  <c:v>0.68709677419354842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24D4-4434-B514-FA296507670F}"/>
            </c:ext>
          </c:extLst>
        </c:ser>
        <c:ser>
          <c:idx val="10"/>
          <c:order val="10"/>
          <c:tx>
            <c:strRef>
              <c:f>'% de Ocupação'!$L$1</c:f>
              <c:strCache>
                <c:ptCount val="1"/>
                <c:pt idx="0">
                  <c:v>NOV</c:v>
                </c:pt>
              </c:strCache>
            </c:strRef>
          </c:tx>
          <c:spPr>
            <a:gradFill rotWithShape="1">
              <a:gsLst>
                <a:gs pos="0">
                  <a:schemeClr val="accent3">
                    <a:lumMod val="80000"/>
                    <a:tint val="83000"/>
                    <a:shade val="100000"/>
                    <a:satMod val="100000"/>
                  </a:schemeClr>
                </a:gs>
                <a:gs pos="100000">
                  <a:schemeClr val="accent3">
                    <a:lumMod val="80000"/>
                    <a:tint val="61000"/>
                    <a:alpha val="100000"/>
                    <a:satMod val="180000"/>
                  </a:schemeClr>
                </a:gs>
              </a:gsLst>
              <a:path path="circle">
                <a:fillToRect l="100000" t="100000" r="100000" b="100000"/>
              </a:path>
            </a:gradFill>
            <a:ln w="9525" cap="flat" cmpd="sng" algn="ctr">
              <a:solidFill>
                <a:schemeClr val="accent3">
                  <a:lumMod val="80000"/>
                  <a:shade val="95000"/>
                </a:schemeClr>
              </a:solidFill>
              <a:round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pt-B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errBars>
            <c:errBarType val="both"/>
            <c:errValType val="stdErr"/>
            <c:noEndCap val="0"/>
            <c:spPr>
              <a:noFill/>
              <a:ln w="9525">
                <a:solidFill>
                  <a:schemeClr val="tx1">
                    <a:lumMod val="50000"/>
                    <a:lumOff val="50000"/>
                  </a:schemeClr>
                </a:solidFill>
              </a:ln>
              <a:effectLst/>
            </c:spPr>
          </c:errBars>
          <c:cat>
            <c:strRef>
              <c:f>'% de Ocupação'!$A$5</c:f>
              <c:strCache>
                <c:ptCount val="1"/>
                <c:pt idx="0">
                  <c:v>UTI Adulto</c:v>
                </c:pt>
              </c:strCache>
            </c:strRef>
          </c:cat>
          <c:val>
            <c:numRef>
              <c:f>'% de Ocupação'!$L$5</c:f>
              <c:numCache>
                <c:formatCode>0.00%</c:formatCode>
                <c:ptCount val="1"/>
                <c:pt idx="0">
                  <c:v>0.7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24D4-4434-B514-FA296507670F}"/>
            </c:ext>
          </c:extLst>
        </c:ser>
        <c:ser>
          <c:idx val="11"/>
          <c:order val="11"/>
          <c:tx>
            <c:strRef>
              <c:f>'% de Ocupação'!$M$1</c:f>
              <c:strCache>
                <c:ptCount val="1"/>
                <c:pt idx="0">
                  <c:v>DEZ</c:v>
                </c:pt>
              </c:strCache>
            </c:strRef>
          </c:tx>
          <c:spPr>
            <a:gradFill rotWithShape="1">
              <a:gsLst>
                <a:gs pos="0">
                  <a:schemeClr val="accent5">
                    <a:lumMod val="80000"/>
                    <a:tint val="83000"/>
                    <a:shade val="100000"/>
                    <a:satMod val="100000"/>
                  </a:schemeClr>
                </a:gs>
                <a:gs pos="100000">
                  <a:schemeClr val="accent5">
                    <a:lumMod val="80000"/>
                    <a:tint val="61000"/>
                    <a:alpha val="100000"/>
                    <a:satMod val="180000"/>
                  </a:schemeClr>
                </a:gs>
              </a:gsLst>
              <a:path path="circle">
                <a:fillToRect l="100000" t="100000" r="100000" b="100000"/>
              </a:path>
            </a:gradFill>
            <a:ln w="9525" cap="flat" cmpd="sng" algn="ctr">
              <a:solidFill>
                <a:schemeClr val="accent5">
                  <a:lumMod val="80000"/>
                  <a:shade val="95000"/>
                </a:schemeClr>
              </a:solidFill>
              <a:round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pt-B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errBars>
            <c:errBarType val="both"/>
            <c:errValType val="stdErr"/>
            <c:noEndCap val="0"/>
            <c:spPr>
              <a:noFill/>
              <a:ln w="9525">
                <a:solidFill>
                  <a:schemeClr val="tx1">
                    <a:lumMod val="50000"/>
                    <a:lumOff val="50000"/>
                  </a:schemeClr>
                </a:solidFill>
              </a:ln>
              <a:effectLst/>
            </c:spPr>
          </c:errBars>
          <c:cat>
            <c:strRef>
              <c:f>'% de Ocupação'!$A$5</c:f>
              <c:strCache>
                <c:ptCount val="1"/>
                <c:pt idx="0">
                  <c:v>UTI Adulto</c:v>
                </c:pt>
              </c:strCache>
            </c:strRef>
          </c:cat>
          <c:val>
            <c:numRef>
              <c:f>'% de Ocupação'!$M$5</c:f>
              <c:numCache>
                <c:formatCode>0.00%</c:formatCode>
                <c:ptCount val="1"/>
                <c:pt idx="0">
                  <c:v>0.73548387096774193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B-24D4-4434-B514-FA296507670F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overlap val="-24"/>
        <c:axId val="503255304"/>
        <c:axId val="503253736"/>
      </c:barChart>
      <c:catAx>
        <c:axId val="503255304"/>
        <c:scaling>
          <c:orientation val="minMax"/>
        </c:scaling>
        <c:delete val="1"/>
        <c:axPos val="b"/>
        <c:numFmt formatCode="General" sourceLinked="1"/>
        <c:majorTickMark val="none"/>
        <c:minorTickMark val="none"/>
        <c:tickLblPos val="nextTo"/>
        <c:crossAx val="503253736"/>
        <c:crosses val="autoZero"/>
        <c:auto val="1"/>
        <c:lblAlgn val="ctr"/>
        <c:lblOffset val="100"/>
        <c:noMultiLvlLbl val="0"/>
      </c:catAx>
      <c:valAx>
        <c:axId val="503253736"/>
        <c:scaling>
          <c:orientation val="minMax"/>
          <c:max val="1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pt-BR"/>
          </a:p>
        </c:txPr>
        <c:crossAx val="50325530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1" i="0" u="none" strike="noStrike" kern="12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pt-B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 b="1">
          <a:solidFill>
            <a:schemeClr val="tx1"/>
          </a:solidFill>
          <a:latin typeface="Arial" panose="020B0604020202020204" pitchFamily="34" charset="0"/>
          <a:cs typeface="Arial" panose="020B0604020202020204" pitchFamily="34" charset="0"/>
        </a:defRPr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cap="none" spc="2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pt-BR"/>
              <a:t>% Geral de Ocupação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cap="none" spc="2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pt-B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'% de Ocupação'!$B$1</c:f>
              <c:strCache>
                <c:ptCount val="1"/>
                <c:pt idx="0">
                  <c:v>JAN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tint val="83000"/>
                    <a:shade val="100000"/>
                    <a:satMod val="100000"/>
                  </a:schemeClr>
                </a:gs>
                <a:gs pos="100000">
                  <a:schemeClr val="accent1">
                    <a:tint val="61000"/>
                    <a:alpha val="100000"/>
                    <a:satMod val="180000"/>
                  </a:schemeClr>
                </a:gs>
              </a:gsLst>
              <a:path path="circle">
                <a:fillToRect l="100000" t="100000" r="100000" b="100000"/>
              </a:path>
            </a:gradFill>
            <a:ln w="9525" cap="flat" cmpd="sng" algn="ctr">
              <a:solidFill>
                <a:schemeClr val="accent1">
                  <a:shade val="95000"/>
                </a:schemeClr>
              </a:solidFill>
              <a:round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pt-B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errBars>
            <c:errBarType val="both"/>
            <c:errValType val="stdErr"/>
            <c:noEndCap val="0"/>
            <c:spPr>
              <a:noFill/>
              <a:ln w="9525">
                <a:solidFill>
                  <a:schemeClr val="tx1">
                    <a:lumMod val="50000"/>
                    <a:lumOff val="50000"/>
                  </a:schemeClr>
                </a:solidFill>
              </a:ln>
              <a:effectLst/>
            </c:spPr>
          </c:errBars>
          <c:cat>
            <c:strRef>
              <c:f>'% de Ocupação'!$A$6</c:f>
              <c:strCache>
                <c:ptCount val="1"/>
                <c:pt idx="0">
                  <c:v>Porcentagem Geral de Ocupação</c:v>
                </c:pt>
              </c:strCache>
            </c:strRef>
          </c:cat>
          <c:val>
            <c:numRef>
              <c:f>'% de Ocupação'!$B$6</c:f>
              <c:numCache>
                <c:formatCode>0.00%</c:formatCode>
                <c:ptCount val="1"/>
                <c:pt idx="0">
                  <c:v>0.63317972350230411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15E-424A-B392-6967B7B4C8BA}"/>
            </c:ext>
          </c:extLst>
        </c:ser>
        <c:ser>
          <c:idx val="1"/>
          <c:order val="1"/>
          <c:tx>
            <c:strRef>
              <c:f>'% de Ocupação'!$C$1</c:f>
              <c:strCache>
                <c:ptCount val="1"/>
                <c:pt idx="0">
                  <c:v>FEV</c:v>
                </c:pt>
              </c:strCache>
            </c:strRef>
          </c:tx>
          <c:spPr>
            <a:gradFill rotWithShape="1">
              <a:gsLst>
                <a:gs pos="0">
                  <a:schemeClr val="accent3">
                    <a:tint val="83000"/>
                    <a:shade val="100000"/>
                    <a:satMod val="100000"/>
                  </a:schemeClr>
                </a:gs>
                <a:gs pos="100000">
                  <a:schemeClr val="accent3">
                    <a:tint val="61000"/>
                    <a:alpha val="100000"/>
                    <a:satMod val="180000"/>
                  </a:schemeClr>
                </a:gs>
              </a:gsLst>
              <a:path path="circle">
                <a:fillToRect l="100000" t="100000" r="100000" b="100000"/>
              </a:path>
            </a:gradFill>
            <a:ln w="9525" cap="flat" cmpd="sng" algn="ctr">
              <a:solidFill>
                <a:schemeClr val="accent3">
                  <a:shade val="95000"/>
                </a:schemeClr>
              </a:solidFill>
              <a:round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pt-B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errBars>
            <c:errBarType val="both"/>
            <c:errValType val="stdErr"/>
            <c:noEndCap val="0"/>
            <c:spPr>
              <a:noFill/>
              <a:ln w="9525">
                <a:solidFill>
                  <a:schemeClr val="tx1">
                    <a:lumMod val="50000"/>
                    <a:lumOff val="50000"/>
                  </a:schemeClr>
                </a:solidFill>
              </a:ln>
              <a:effectLst/>
            </c:spPr>
          </c:errBars>
          <c:cat>
            <c:strRef>
              <c:f>'% de Ocupação'!$A$6</c:f>
              <c:strCache>
                <c:ptCount val="1"/>
                <c:pt idx="0">
                  <c:v>Porcentagem Geral de Ocupação</c:v>
                </c:pt>
              </c:strCache>
            </c:strRef>
          </c:cat>
          <c:val>
            <c:numRef>
              <c:f>'% de Ocupação'!$C$6</c:f>
              <c:numCache>
                <c:formatCode>0.00%</c:formatCode>
                <c:ptCount val="1"/>
                <c:pt idx="0">
                  <c:v>0.71173469387755106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415E-424A-B392-6967B7B4C8BA}"/>
            </c:ext>
          </c:extLst>
        </c:ser>
        <c:ser>
          <c:idx val="2"/>
          <c:order val="2"/>
          <c:tx>
            <c:strRef>
              <c:f>'% de Ocupação'!$D$1</c:f>
              <c:strCache>
                <c:ptCount val="1"/>
                <c:pt idx="0">
                  <c:v>MAR</c:v>
                </c:pt>
              </c:strCache>
            </c:strRef>
          </c:tx>
          <c:spPr>
            <a:gradFill rotWithShape="1">
              <a:gsLst>
                <a:gs pos="0">
                  <a:schemeClr val="accent5">
                    <a:tint val="83000"/>
                    <a:shade val="100000"/>
                    <a:satMod val="100000"/>
                  </a:schemeClr>
                </a:gs>
                <a:gs pos="100000">
                  <a:schemeClr val="accent5">
                    <a:tint val="61000"/>
                    <a:alpha val="100000"/>
                    <a:satMod val="180000"/>
                  </a:schemeClr>
                </a:gs>
              </a:gsLst>
              <a:path path="circle">
                <a:fillToRect l="100000" t="100000" r="100000" b="100000"/>
              </a:path>
            </a:gradFill>
            <a:ln w="9525" cap="flat" cmpd="sng" algn="ctr">
              <a:solidFill>
                <a:schemeClr val="accent5">
                  <a:shade val="95000"/>
                </a:schemeClr>
              </a:solidFill>
              <a:round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pt-B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errBars>
            <c:errBarType val="both"/>
            <c:errValType val="stdErr"/>
            <c:noEndCap val="0"/>
            <c:spPr>
              <a:noFill/>
              <a:ln w="9525">
                <a:solidFill>
                  <a:schemeClr val="tx1">
                    <a:lumMod val="50000"/>
                    <a:lumOff val="50000"/>
                  </a:schemeClr>
                </a:solidFill>
              </a:ln>
              <a:effectLst/>
            </c:spPr>
          </c:errBars>
          <c:cat>
            <c:strRef>
              <c:f>'% de Ocupação'!$A$6</c:f>
              <c:strCache>
                <c:ptCount val="1"/>
                <c:pt idx="0">
                  <c:v>Porcentagem Geral de Ocupação</c:v>
                </c:pt>
              </c:strCache>
            </c:strRef>
          </c:cat>
          <c:val>
            <c:numRef>
              <c:f>'% de Ocupação'!$D$6</c:f>
              <c:numCache>
                <c:formatCode>0.00%</c:formatCode>
                <c:ptCount val="1"/>
                <c:pt idx="0">
                  <c:v>0.62304147465437787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415E-424A-B392-6967B7B4C8BA}"/>
            </c:ext>
          </c:extLst>
        </c:ser>
        <c:ser>
          <c:idx val="3"/>
          <c:order val="3"/>
          <c:tx>
            <c:strRef>
              <c:f>'% de Ocupação'!$E$1</c:f>
              <c:strCache>
                <c:ptCount val="1"/>
                <c:pt idx="0">
                  <c:v>ABR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lumMod val="60000"/>
                    <a:tint val="83000"/>
                    <a:shade val="100000"/>
                    <a:satMod val="100000"/>
                  </a:schemeClr>
                </a:gs>
                <a:gs pos="100000">
                  <a:schemeClr val="accent1">
                    <a:lumMod val="60000"/>
                    <a:tint val="61000"/>
                    <a:alpha val="100000"/>
                    <a:satMod val="180000"/>
                  </a:schemeClr>
                </a:gs>
              </a:gsLst>
              <a:path path="circle">
                <a:fillToRect l="100000" t="100000" r="100000" b="100000"/>
              </a:path>
            </a:gradFill>
            <a:ln w="9525" cap="flat" cmpd="sng" algn="ctr">
              <a:solidFill>
                <a:schemeClr val="accent1">
                  <a:lumMod val="60000"/>
                  <a:shade val="95000"/>
                </a:schemeClr>
              </a:solidFill>
              <a:round/>
            </a:ln>
            <a:effectLst/>
          </c:spPr>
          <c:invertIfNegative val="0"/>
          <c:dLbls>
            <c:dLbl>
              <c:idx val="0"/>
              <c:layout>
                <c:manualLayout>
                  <c:x val="0"/>
                  <c:y val="-2.8021010609740132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415E-424A-B392-6967B7B4C8BA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pt-B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errBars>
            <c:errBarType val="both"/>
            <c:errValType val="stdErr"/>
            <c:noEndCap val="0"/>
            <c:spPr>
              <a:noFill/>
              <a:ln w="9525">
                <a:solidFill>
                  <a:schemeClr val="tx1">
                    <a:lumMod val="50000"/>
                    <a:lumOff val="50000"/>
                  </a:schemeClr>
                </a:solidFill>
              </a:ln>
              <a:effectLst/>
            </c:spPr>
          </c:errBars>
          <c:cat>
            <c:strRef>
              <c:f>'% de Ocupação'!$A$6</c:f>
              <c:strCache>
                <c:ptCount val="1"/>
                <c:pt idx="0">
                  <c:v>Porcentagem Geral de Ocupação</c:v>
                </c:pt>
              </c:strCache>
            </c:strRef>
          </c:cat>
          <c:val>
            <c:numRef>
              <c:f>'% de Ocupação'!$E$6</c:f>
              <c:numCache>
                <c:formatCode>0.00%</c:formatCode>
                <c:ptCount val="1"/>
                <c:pt idx="0">
                  <c:v>0.53523809523809529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415E-424A-B392-6967B7B4C8BA}"/>
            </c:ext>
          </c:extLst>
        </c:ser>
        <c:ser>
          <c:idx val="4"/>
          <c:order val="4"/>
          <c:tx>
            <c:strRef>
              <c:f>'% de Ocupação'!$F$1</c:f>
              <c:strCache>
                <c:ptCount val="1"/>
                <c:pt idx="0">
                  <c:v>MAI</c:v>
                </c:pt>
              </c:strCache>
            </c:strRef>
          </c:tx>
          <c:spPr>
            <a:gradFill rotWithShape="1">
              <a:gsLst>
                <a:gs pos="0">
                  <a:schemeClr val="accent3">
                    <a:lumMod val="60000"/>
                    <a:tint val="83000"/>
                    <a:shade val="100000"/>
                    <a:satMod val="100000"/>
                  </a:schemeClr>
                </a:gs>
                <a:gs pos="100000">
                  <a:schemeClr val="accent3">
                    <a:lumMod val="60000"/>
                    <a:tint val="61000"/>
                    <a:alpha val="100000"/>
                    <a:satMod val="180000"/>
                  </a:schemeClr>
                </a:gs>
              </a:gsLst>
              <a:path path="circle">
                <a:fillToRect l="100000" t="100000" r="100000" b="100000"/>
              </a:path>
            </a:gradFill>
            <a:ln w="9525" cap="flat" cmpd="sng" algn="ctr">
              <a:solidFill>
                <a:schemeClr val="accent3">
                  <a:lumMod val="60000"/>
                  <a:shade val="95000"/>
                </a:schemeClr>
              </a:solidFill>
              <a:round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pt-B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errBars>
            <c:errBarType val="both"/>
            <c:errValType val="stdErr"/>
            <c:noEndCap val="0"/>
            <c:spPr>
              <a:noFill/>
              <a:ln w="9525">
                <a:solidFill>
                  <a:schemeClr val="tx1">
                    <a:lumMod val="50000"/>
                    <a:lumOff val="50000"/>
                  </a:schemeClr>
                </a:solidFill>
              </a:ln>
              <a:effectLst/>
            </c:spPr>
          </c:errBars>
          <c:cat>
            <c:strRef>
              <c:f>'% de Ocupação'!$A$6</c:f>
              <c:strCache>
                <c:ptCount val="1"/>
                <c:pt idx="0">
                  <c:v>Porcentagem Geral de Ocupação</c:v>
                </c:pt>
              </c:strCache>
            </c:strRef>
          </c:cat>
          <c:val>
            <c:numRef>
              <c:f>'% de Ocupação'!$F$6</c:f>
              <c:numCache>
                <c:formatCode>0.00%</c:formatCode>
                <c:ptCount val="1"/>
                <c:pt idx="0">
                  <c:v>0.6778801843317972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415E-424A-B392-6967B7B4C8BA}"/>
            </c:ext>
          </c:extLst>
        </c:ser>
        <c:ser>
          <c:idx val="5"/>
          <c:order val="5"/>
          <c:tx>
            <c:strRef>
              <c:f>'% de Ocupação'!$G$1</c:f>
              <c:strCache>
                <c:ptCount val="1"/>
                <c:pt idx="0">
                  <c:v>JUN</c:v>
                </c:pt>
              </c:strCache>
            </c:strRef>
          </c:tx>
          <c:spPr>
            <a:gradFill rotWithShape="1">
              <a:gsLst>
                <a:gs pos="0">
                  <a:schemeClr val="accent5">
                    <a:lumMod val="60000"/>
                    <a:tint val="83000"/>
                    <a:shade val="100000"/>
                    <a:satMod val="100000"/>
                  </a:schemeClr>
                </a:gs>
                <a:gs pos="100000">
                  <a:schemeClr val="accent5">
                    <a:lumMod val="60000"/>
                    <a:tint val="61000"/>
                    <a:alpha val="100000"/>
                    <a:satMod val="180000"/>
                  </a:schemeClr>
                </a:gs>
              </a:gsLst>
              <a:path path="circle">
                <a:fillToRect l="100000" t="100000" r="100000" b="100000"/>
              </a:path>
            </a:gradFill>
            <a:ln w="9525" cap="flat" cmpd="sng" algn="ctr">
              <a:solidFill>
                <a:schemeClr val="accent5">
                  <a:lumMod val="60000"/>
                  <a:shade val="95000"/>
                </a:schemeClr>
              </a:solidFill>
              <a:round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pt-B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errBars>
            <c:errBarType val="both"/>
            <c:errValType val="stdErr"/>
            <c:noEndCap val="0"/>
            <c:spPr>
              <a:noFill/>
              <a:ln w="9525">
                <a:solidFill>
                  <a:schemeClr val="tx1">
                    <a:lumMod val="50000"/>
                    <a:lumOff val="50000"/>
                  </a:schemeClr>
                </a:solidFill>
              </a:ln>
              <a:effectLst/>
            </c:spPr>
          </c:errBars>
          <c:cat>
            <c:strRef>
              <c:f>'% de Ocupação'!$A$6</c:f>
              <c:strCache>
                <c:ptCount val="1"/>
                <c:pt idx="0">
                  <c:v>Porcentagem Geral de Ocupação</c:v>
                </c:pt>
              </c:strCache>
            </c:strRef>
          </c:cat>
          <c:val>
            <c:numRef>
              <c:f>'% de Ocupação'!$G$6</c:f>
              <c:numCache>
                <c:formatCode>0.00%</c:formatCode>
                <c:ptCount val="1"/>
                <c:pt idx="0">
                  <c:v>0.64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415E-424A-B392-6967B7B4C8BA}"/>
            </c:ext>
          </c:extLst>
        </c:ser>
        <c:ser>
          <c:idx val="6"/>
          <c:order val="6"/>
          <c:tx>
            <c:strRef>
              <c:f>'% de Ocupação'!$H$1</c:f>
              <c:strCache>
                <c:ptCount val="1"/>
                <c:pt idx="0">
                  <c:v>JUL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lumMod val="80000"/>
                    <a:lumOff val="20000"/>
                    <a:tint val="83000"/>
                    <a:shade val="100000"/>
                    <a:satMod val="100000"/>
                  </a:schemeClr>
                </a:gs>
                <a:gs pos="100000">
                  <a:schemeClr val="accent1">
                    <a:lumMod val="80000"/>
                    <a:lumOff val="20000"/>
                    <a:tint val="61000"/>
                    <a:alpha val="100000"/>
                    <a:satMod val="180000"/>
                  </a:schemeClr>
                </a:gs>
              </a:gsLst>
              <a:path path="circle">
                <a:fillToRect l="100000" t="100000" r="100000" b="100000"/>
              </a:path>
            </a:gradFill>
            <a:ln w="9525" cap="flat" cmpd="sng" algn="ctr">
              <a:solidFill>
                <a:schemeClr val="accent1">
                  <a:lumMod val="80000"/>
                  <a:lumOff val="20000"/>
                  <a:shade val="95000"/>
                </a:schemeClr>
              </a:solidFill>
              <a:round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pt-B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errBars>
            <c:errBarType val="both"/>
            <c:errValType val="stdErr"/>
            <c:noEndCap val="0"/>
            <c:spPr>
              <a:noFill/>
              <a:ln w="9525">
                <a:solidFill>
                  <a:schemeClr val="tx1">
                    <a:lumMod val="50000"/>
                    <a:lumOff val="50000"/>
                  </a:schemeClr>
                </a:solidFill>
              </a:ln>
              <a:effectLst/>
            </c:spPr>
          </c:errBars>
          <c:cat>
            <c:strRef>
              <c:f>'% de Ocupação'!$A$6</c:f>
              <c:strCache>
                <c:ptCount val="1"/>
                <c:pt idx="0">
                  <c:v>Porcentagem Geral de Ocupação</c:v>
                </c:pt>
              </c:strCache>
            </c:strRef>
          </c:cat>
          <c:val>
            <c:numRef>
              <c:f>'% de Ocupação'!$H$6</c:f>
              <c:numCache>
                <c:formatCode>0.00%</c:formatCode>
                <c:ptCount val="1"/>
                <c:pt idx="0">
                  <c:v>0.65115207373271888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415E-424A-B392-6967B7B4C8BA}"/>
            </c:ext>
          </c:extLst>
        </c:ser>
        <c:ser>
          <c:idx val="7"/>
          <c:order val="7"/>
          <c:tx>
            <c:strRef>
              <c:f>'% de Ocupação'!$I$1</c:f>
              <c:strCache>
                <c:ptCount val="1"/>
                <c:pt idx="0">
                  <c:v>AGO</c:v>
                </c:pt>
              </c:strCache>
            </c:strRef>
          </c:tx>
          <c:spPr>
            <a:gradFill rotWithShape="1">
              <a:gsLst>
                <a:gs pos="0">
                  <a:schemeClr val="accent3">
                    <a:lumMod val="80000"/>
                    <a:lumOff val="20000"/>
                    <a:tint val="83000"/>
                    <a:shade val="100000"/>
                    <a:satMod val="100000"/>
                  </a:schemeClr>
                </a:gs>
                <a:gs pos="100000">
                  <a:schemeClr val="accent3">
                    <a:lumMod val="80000"/>
                    <a:lumOff val="20000"/>
                    <a:tint val="61000"/>
                    <a:alpha val="100000"/>
                    <a:satMod val="180000"/>
                  </a:schemeClr>
                </a:gs>
              </a:gsLst>
              <a:path path="circle">
                <a:fillToRect l="100000" t="100000" r="100000" b="100000"/>
              </a:path>
            </a:gradFill>
            <a:ln w="9525" cap="flat" cmpd="sng" algn="ctr">
              <a:solidFill>
                <a:schemeClr val="accent3">
                  <a:lumMod val="80000"/>
                  <a:lumOff val="20000"/>
                  <a:shade val="95000"/>
                </a:schemeClr>
              </a:solidFill>
              <a:round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pt-B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errBars>
            <c:errBarType val="both"/>
            <c:errValType val="stdErr"/>
            <c:noEndCap val="0"/>
            <c:spPr>
              <a:noFill/>
              <a:ln w="9525">
                <a:solidFill>
                  <a:schemeClr val="tx1">
                    <a:lumMod val="50000"/>
                    <a:lumOff val="50000"/>
                  </a:schemeClr>
                </a:solidFill>
              </a:ln>
              <a:effectLst/>
            </c:spPr>
          </c:errBars>
          <c:cat>
            <c:strRef>
              <c:f>'% de Ocupação'!$A$6</c:f>
              <c:strCache>
                <c:ptCount val="1"/>
                <c:pt idx="0">
                  <c:v>Porcentagem Geral de Ocupação</c:v>
                </c:pt>
              </c:strCache>
            </c:strRef>
          </c:cat>
          <c:val>
            <c:numRef>
              <c:f>'% de Ocupação'!$I$6</c:f>
              <c:numCache>
                <c:formatCode>0.00%</c:formatCode>
                <c:ptCount val="1"/>
                <c:pt idx="0">
                  <c:v>0.65714285714285714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415E-424A-B392-6967B7B4C8BA}"/>
            </c:ext>
          </c:extLst>
        </c:ser>
        <c:ser>
          <c:idx val="8"/>
          <c:order val="8"/>
          <c:tx>
            <c:strRef>
              <c:f>'% de Ocupação'!$J$1</c:f>
              <c:strCache>
                <c:ptCount val="1"/>
                <c:pt idx="0">
                  <c:v>SET</c:v>
                </c:pt>
              </c:strCache>
            </c:strRef>
          </c:tx>
          <c:spPr>
            <a:gradFill rotWithShape="1">
              <a:gsLst>
                <a:gs pos="0">
                  <a:schemeClr val="accent5">
                    <a:lumMod val="80000"/>
                    <a:lumOff val="20000"/>
                    <a:tint val="83000"/>
                    <a:shade val="100000"/>
                    <a:satMod val="100000"/>
                  </a:schemeClr>
                </a:gs>
                <a:gs pos="100000">
                  <a:schemeClr val="accent5">
                    <a:lumMod val="80000"/>
                    <a:lumOff val="20000"/>
                    <a:tint val="61000"/>
                    <a:alpha val="100000"/>
                    <a:satMod val="180000"/>
                  </a:schemeClr>
                </a:gs>
              </a:gsLst>
              <a:path path="circle">
                <a:fillToRect l="100000" t="100000" r="100000" b="100000"/>
              </a:path>
            </a:gradFill>
            <a:ln w="9525" cap="flat" cmpd="sng" algn="ctr">
              <a:solidFill>
                <a:schemeClr val="accent5">
                  <a:lumMod val="80000"/>
                  <a:lumOff val="20000"/>
                  <a:shade val="95000"/>
                </a:schemeClr>
              </a:solidFill>
              <a:round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pt-B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errBars>
            <c:errBarType val="both"/>
            <c:errValType val="stdErr"/>
            <c:noEndCap val="0"/>
            <c:spPr>
              <a:noFill/>
              <a:ln w="9525">
                <a:solidFill>
                  <a:schemeClr val="tx1">
                    <a:lumMod val="50000"/>
                    <a:lumOff val="50000"/>
                  </a:schemeClr>
                </a:solidFill>
              </a:ln>
              <a:effectLst/>
            </c:spPr>
          </c:errBars>
          <c:cat>
            <c:strRef>
              <c:f>'% de Ocupação'!$A$6</c:f>
              <c:strCache>
                <c:ptCount val="1"/>
                <c:pt idx="0">
                  <c:v>Porcentagem Geral de Ocupação</c:v>
                </c:pt>
              </c:strCache>
            </c:strRef>
          </c:cat>
          <c:val>
            <c:numRef>
              <c:f>'% de Ocupação'!$J$6</c:f>
              <c:numCache>
                <c:formatCode>0.00%</c:formatCode>
                <c:ptCount val="1"/>
                <c:pt idx="0">
                  <c:v>0.6528571428571428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415E-424A-B392-6967B7B4C8BA}"/>
            </c:ext>
          </c:extLst>
        </c:ser>
        <c:ser>
          <c:idx val="9"/>
          <c:order val="9"/>
          <c:tx>
            <c:strRef>
              <c:f>'% de Ocupação'!$K$1</c:f>
              <c:strCache>
                <c:ptCount val="1"/>
                <c:pt idx="0">
                  <c:v>OUT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lumMod val="80000"/>
                    <a:tint val="83000"/>
                    <a:shade val="100000"/>
                    <a:satMod val="100000"/>
                  </a:schemeClr>
                </a:gs>
                <a:gs pos="100000">
                  <a:schemeClr val="accent1">
                    <a:lumMod val="80000"/>
                    <a:tint val="61000"/>
                    <a:alpha val="100000"/>
                    <a:satMod val="180000"/>
                  </a:schemeClr>
                </a:gs>
              </a:gsLst>
              <a:path path="circle">
                <a:fillToRect l="100000" t="100000" r="100000" b="100000"/>
              </a:path>
            </a:gradFill>
            <a:ln w="9525" cap="flat" cmpd="sng" algn="ctr">
              <a:solidFill>
                <a:schemeClr val="accent1">
                  <a:lumMod val="80000"/>
                  <a:shade val="95000"/>
                </a:schemeClr>
              </a:solidFill>
              <a:round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pt-B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errBars>
            <c:errBarType val="both"/>
            <c:errValType val="stdErr"/>
            <c:noEndCap val="0"/>
            <c:spPr>
              <a:noFill/>
              <a:ln w="9525">
                <a:solidFill>
                  <a:schemeClr val="tx1">
                    <a:lumMod val="50000"/>
                    <a:lumOff val="50000"/>
                  </a:schemeClr>
                </a:solidFill>
              </a:ln>
              <a:effectLst/>
            </c:spPr>
          </c:errBars>
          <c:cat>
            <c:strRef>
              <c:f>'% de Ocupação'!$A$6</c:f>
              <c:strCache>
                <c:ptCount val="1"/>
                <c:pt idx="0">
                  <c:v>Porcentagem Geral de Ocupação</c:v>
                </c:pt>
              </c:strCache>
            </c:strRef>
          </c:cat>
          <c:val>
            <c:numRef>
              <c:f>'% de Ocupação'!$K$6</c:f>
              <c:numCache>
                <c:formatCode>0.00%</c:formatCode>
                <c:ptCount val="1"/>
                <c:pt idx="0">
                  <c:v>0.68571428571428572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415E-424A-B392-6967B7B4C8BA}"/>
            </c:ext>
          </c:extLst>
        </c:ser>
        <c:ser>
          <c:idx val="10"/>
          <c:order val="10"/>
          <c:tx>
            <c:strRef>
              <c:f>'% de Ocupação'!$L$1</c:f>
              <c:strCache>
                <c:ptCount val="1"/>
                <c:pt idx="0">
                  <c:v>NOV</c:v>
                </c:pt>
              </c:strCache>
            </c:strRef>
          </c:tx>
          <c:spPr>
            <a:gradFill rotWithShape="1">
              <a:gsLst>
                <a:gs pos="0">
                  <a:schemeClr val="accent3">
                    <a:lumMod val="80000"/>
                    <a:tint val="83000"/>
                    <a:shade val="100000"/>
                    <a:satMod val="100000"/>
                  </a:schemeClr>
                </a:gs>
                <a:gs pos="100000">
                  <a:schemeClr val="accent3">
                    <a:lumMod val="80000"/>
                    <a:tint val="61000"/>
                    <a:alpha val="100000"/>
                    <a:satMod val="180000"/>
                  </a:schemeClr>
                </a:gs>
              </a:gsLst>
              <a:path path="circle">
                <a:fillToRect l="100000" t="100000" r="100000" b="100000"/>
              </a:path>
            </a:gradFill>
            <a:ln w="9525" cap="flat" cmpd="sng" algn="ctr">
              <a:solidFill>
                <a:schemeClr val="accent3">
                  <a:lumMod val="80000"/>
                  <a:shade val="95000"/>
                </a:schemeClr>
              </a:solidFill>
              <a:round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pt-B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errBars>
            <c:errBarType val="both"/>
            <c:errValType val="stdErr"/>
            <c:noEndCap val="0"/>
            <c:spPr>
              <a:noFill/>
              <a:ln w="9525">
                <a:solidFill>
                  <a:schemeClr val="tx1">
                    <a:lumMod val="50000"/>
                    <a:lumOff val="50000"/>
                  </a:schemeClr>
                </a:solidFill>
              </a:ln>
              <a:effectLst/>
            </c:spPr>
          </c:errBars>
          <c:cat>
            <c:strRef>
              <c:f>'% de Ocupação'!$A$6</c:f>
              <c:strCache>
                <c:ptCount val="1"/>
                <c:pt idx="0">
                  <c:v>Porcentagem Geral de Ocupação</c:v>
                </c:pt>
              </c:strCache>
            </c:strRef>
          </c:cat>
          <c:val>
            <c:numRef>
              <c:f>'% de Ocupação'!$L$6</c:f>
              <c:numCache>
                <c:formatCode>0.00%</c:formatCode>
                <c:ptCount val="1"/>
                <c:pt idx="0">
                  <c:v>0.73333333333333328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B-415E-424A-B392-6967B7B4C8BA}"/>
            </c:ext>
          </c:extLst>
        </c:ser>
        <c:ser>
          <c:idx val="11"/>
          <c:order val="11"/>
          <c:tx>
            <c:strRef>
              <c:f>'% de Ocupação'!$M$1</c:f>
              <c:strCache>
                <c:ptCount val="1"/>
                <c:pt idx="0">
                  <c:v>DEZ</c:v>
                </c:pt>
              </c:strCache>
            </c:strRef>
          </c:tx>
          <c:spPr>
            <a:gradFill rotWithShape="1">
              <a:gsLst>
                <a:gs pos="0">
                  <a:schemeClr val="accent5">
                    <a:lumMod val="80000"/>
                    <a:tint val="83000"/>
                    <a:shade val="100000"/>
                    <a:satMod val="100000"/>
                  </a:schemeClr>
                </a:gs>
                <a:gs pos="100000">
                  <a:schemeClr val="accent5">
                    <a:lumMod val="80000"/>
                    <a:tint val="61000"/>
                    <a:alpha val="100000"/>
                    <a:satMod val="180000"/>
                  </a:schemeClr>
                </a:gs>
              </a:gsLst>
              <a:path path="circle">
                <a:fillToRect l="100000" t="100000" r="100000" b="100000"/>
              </a:path>
            </a:gradFill>
            <a:ln w="9525" cap="flat" cmpd="sng" algn="ctr">
              <a:solidFill>
                <a:schemeClr val="accent5">
                  <a:lumMod val="80000"/>
                  <a:shade val="95000"/>
                </a:schemeClr>
              </a:solidFill>
              <a:round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pt-B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errBars>
            <c:errBarType val="both"/>
            <c:errValType val="stdErr"/>
            <c:noEndCap val="0"/>
            <c:spPr>
              <a:noFill/>
              <a:ln w="9525">
                <a:solidFill>
                  <a:schemeClr val="tx1">
                    <a:lumMod val="50000"/>
                    <a:lumOff val="50000"/>
                  </a:schemeClr>
                </a:solidFill>
              </a:ln>
              <a:effectLst/>
            </c:spPr>
          </c:errBars>
          <c:cat>
            <c:strRef>
              <c:f>'% de Ocupação'!$A$6</c:f>
              <c:strCache>
                <c:ptCount val="1"/>
                <c:pt idx="0">
                  <c:v>Porcentagem Geral de Ocupação</c:v>
                </c:pt>
              </c:strCache>
            </c:strRef>
          </c:cat>
          <c:val>
            <c:numRef>
              <c:f>'% de Ocupação'!$M$6</c:f>
              <c:numCache>
                <c:formatCode>0.00%</c:formatCode>
                <c:ptCount val="1"/>
                <c:pt idx="0">
                  <c:v>0.70138248847926266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C-415E-424A-B392-6967B7B4C8BA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overlap val="-24"/>
        <c:axId val="503254520"/>
        <c:axId val="503256088"/>
      </c:barChart>
      <c:catAx>
        <c:axId val="503254520"/>
        <c:scaling>
          <c:orientation val="minMax"/>
        </c:scaling>
        <c:delete val="1"/>
        <c:axPos val="b"/>
        <c:numFmt formatCode="General" sourceLinked="1"/>
        <c:majorTickMark val="none"/>
        <c:minorTickMark val="none"/>
        <c:tickLblPos val="nextTo"/>
        <c:crossAx val="503256088"/>
        <c:crosses val="autoZero"/>
        <c:auto val="1"/>
        <c:lblAlgn val="ctr"/>
        <c:lblOffset val="100"/>
        <c:noMultiLvlLbl val="0"/>
      </c:catAx>
      <c:valAx>
        <c:axId val="503256088"/>
        <c:scaling>
          <c:orientation val="minMax"/>
          <c:max val="1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pt-BR"/>
          </a:p>
        </c:txPr>
        <c:crossAx val="50325452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1" i="0" u="none" strike="noStrike" kern="12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pt-B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 b="1">
          <a:solidFill>
            <a:schemeClr val="tx1"/>
          </a:solidFill>
          <a:latin typeface="Arial" panose="020B0604020202020204" pitchFamily="34" charset="0"/>
          <a:cs typeface="Arial" panose="020B0604020202020204" pitchFamily="34" charset="0"/>
        </a:defRPr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cap="none" spc="0" normalizeH="0" baseline="0">
                <a:solidFill>
                  <a:schemeClr val="tx1"/>
                </a:solidFill>
                <a:latin typeface="Arial" panose="020B0604020202020204" pitchFamily="34" charset="0"/>
                <a:ea typeface="+mj-ea"/>
                <a:cs typeface="Arial" panose="020B0604020202020204" pitchFamily="34" charset="0"/>
              </a:defRPr>
            </a:pPr>
            <a:r>
              <a:rPr lang="pt-BR"/>
              <a:t>Clínica Cirurgica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cap="none" spc="0" normalizeH="0" baseline="0">
              <a:solidFill>
                <a:schemeClr val="tx1"/>
              </a:solidFill>
              <a:latin typeface="Arial" panose="020B0604020202020204" pitchFamily="34" charset="0"/>
              <a:ea typeface="+mj-ea"/>
              <a:cs typeface="Arial" panose="020B0604020202020204" pitchFamily="34" charset="0"/>
            </a:defRPr>
          </a:pPr>
          <a:endParaRPr lang="pt-B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'% de Ocupação Trimestral'!$H$2</c:f>
              <c:strCache>
                <c:ptCount val="1"/>
                <c:pt idx="0">
                  <c:v>OUT</c:v>
                </c:pt>
              </c:strCache>
            </c:strRef>
          </c:tx>
          <c:spPr>
            <a:solidFill>
              <a:schemeClr val="accent6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1200" b="1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pt-B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dk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'% de Ocupação Trimestral'!$H$3</c:f>
              <c:numCache>
                <c:formatCode>0.00%</c:formatCode>
                <c:ptCount val="1"/>
                <c:pt idx="0">
                  <c:v>0.59758064516129028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F36-45AF-8790-C7B6BBDC91D9}"/>
            </c:ext>
          </c:extLst>
        </c:ser>
        <c:ser>
          <c:idx val="1"/>
          <c:order val="1"/>
          <c:tx>
            <c:strRef>
              <c:f>'% de Ocupação Trimestral'!$I$2</c:f>
              <c:strCache>
                <c:ptCount val="1"/>
                <c:pt idx="0">
                  <c:v>NOV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1200" b="1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pt-B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dk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'% de Ocupação Trimestral'!$I$3</c:f>
              <c:numCache>
                <c:formatCode>0.00%</c:formatCode>
                <c:ptCount val="1"/>
                <c:pt idx="0">
                  <c:v>0.6825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8F36-45AF-8790-C7B6BBDC91D9}"/>
            </c:ext>
          </c:extLst>
        </c:ser>
        <c:ser>
          <c:idx val="2"/>
          <c:order val="2"/>
          <c:tx>
            <c:strRef>
              <c:f>'% de Ocupação Trimestral'!$J$2</c:f>
              <c:strCache>
                <c:ptCount val="1"/>
                <c:pt idx="0">
                  <c:v>DEZ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200" b="1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pt-B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dk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'% de Ocupação Trimestral'!$J$3</c:f>
              <c:numCache>
                <c:formatCode>0.00%</c:formatCode>
                <c:ptCount val="1"/>
              </c:numCache>
            </c:numRef>
          </c:val>
          <c:extLst>
            <c:ext xmlns:c16="http://schemas.microsoft.com/office/drawing/2014/chart" uri="{C3380CC4-5D6E-409C-BE32-E72D297353CC}">
              <c16:uniqueId val="{00000002-8F36-45AF-8790-C7B6BBDC91D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67"/>
        <c:overlap val="-43"/>
        <c:axId val="237887984"/>
        <c:axId val="237886024"/>
      </c:barChart>
      <c:catAx>
        <c:axId val="237887984"/>
        <c:scaling>
          <c:orientation val="minMax"/>
        </c:scaling>
        <c:delete val="1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ajorTickMark val="none"/>
        <c:minorTickMark val="none"/>
        <c:tickLblPos val="nextTo"/>
        <c:crossAx val="237886024"/>
        <c:crosses val="autoZero"/>
        <c:auto val="1"/>
        <c:lblAlgn val="ctr"/>
        <c:lblOffset val="100"/>
        <c:noMultiLvlLbl val="0"/>
      </c:catAx>
      <c:valAx>
        <c:axId val="237886024"/>
        <c:scaling>
          <c:orientation val="minMax"/>
          <c:max val="1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100" b="1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pt-BR" sz="1100"/>
                  <a:t>% de Ocpuação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100" b="1" i="0" u="none" strike="noStrike" kern="1200" baseline="0">
                  <a:solidFill>
                    <a:schemeClr val="tx1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pt-BR"/>
            </a:p>
          </c:txPr>
        </c:title>
        <c:numFmt formatCode="0.0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pt-BR"/>
          </a:p>
        </c:txPr>
        <c:crossAx val="237887984"/>
        <c:crosses val="autoZero"/>
        <c:crossBetween val="between"/>
      </c:valAx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1" i="0" u="none" strike="noStrike" kern="12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pt-BR"/>
        </a:p>
      </c:txPr>
    </c:legend>
    <c:plotVisOnly val="1"/>
    <c:dispBlanksAs val="gap"/>
    <c:showDLblsOverMax val="0"/>
  </c:chart>
  <c:spPr>
    <a:solidFill>
      <a:schemeClr val="lt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 sz="1000" b="1">
          <a:solidFill>
            <a:schemeClr val="tx1"/>
          </a:solidFill>
          <a:latin typeface="Arial" panose="020B0604020202020204" pitchFamily="34" charset="0"/>
          <a:cs typeface="Arial" panose="020B0604020202020204" pitchFamily="34" charset="0"/>
        </a:defRPr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 orientation="landscape"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40" b="1" i="0" u="none" strike="noStrike" kern="1200" cap="none" spc="0" normalizeH="0" baseline="0">
                <a:solidFill>
                  <a:schemeClr val="tx1"/>
                </a:solidFill>
                <a:latin typeface="Arial" panose="020B0604020202020204" pitchFamily="34" charset="0"/>
                <a:ea typeface="+mj-ea"/>
                <a:cs typeface="Arial" panose="020B0604020202020204" pitchFamily="34" charset="0"/>
              </a:defRPr>
            </a:pPr>
            <a:r>
              <a:rPr lang="pt-BR"/>
              <a:t>Clínica Médica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40" b="1" i="0" u="none" strike="noStrike" kern="1200" cap="none" spc="0" normalizeH="0" baseline="0">
              <a:solidFill>
                <a:schemeClr val="tx1"/>
              </a:solidFill>
              <a:latin typeface="Arial" panose="020B0604020202020204" pitchFamily="34" charset="0"/>
              <a:ea typeface="+mj-ea"/>
              <a:cs typeface="Arial" panose="020B0604020202020204" pitchFamily="34" charset="0"/>
            </a:defRPr>
          </a:pPr>
          <a:endParaRPr lang="pt-B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'% de Ocupação Trimestral'!$H$2</c:f>
              <c:strCache>
                <c:ptCount val="1"/>
                <c:pt idx="0">
                  <c:v>OUT</c:v>
                </c:pt>
              </c:strCache>
            </c:strRef>
          </c:tx>
          <c:spPr>
            <a:solidFill>
              <a:schemeClr val="accent6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1200" b="1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pt-B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dk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'% de Ocupação Trimestral'!$H$4</c:f>
              <c:numCache>
                <c:formatCode>0.00%</c:formatCode>
                <c:ptCount val="1"/>
                <c:pt idx="0">
                  <c:v>0.8612903225806452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312-4DA0-8436-F1C716B90D24}"/>
            </c:ext>
          </c:extLst>
        </c:ser>
        <c:ser>
          <c:idx val="1"/>
          <c:order val="1"/>
          <c:tx>
            <c:strRef>
              <c:f>'% de Ocupação Trimestral'!$I$2</c:f>
              <c:strCache>
                <c:ptCount val="1"/>
                <c:pt idx="0">
                  <c:v>NOV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1200" b="1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pt-B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dk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'% de Ocupação Trimestral'!$I$4</c:f>
              <c:numCache>
                <c:formatCode>0.00%</c:formatCode>
                <c:ptCount val="1"/>
                <c:pt idx="0">
                  <c:v>0.85166666666666668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4312-4DA0-8436-F1C716B90D24}"/>
            </c:ext>
          </c:extLst>
        </c:ser>
        <c:ser>
          <c:idx val="2"/>
          <c:order val="2"/>
          <c:tx>
            <c:strRef>
              <c:f>'% de Ocupação Trimestral'!$J$2</c:f>
              <c:strCache>
                <c:ptCount val="1"/>
                <c:pt idx="0">
                  <c:v>DEZ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200" b="1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pt-B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dk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'% de Ocupação Trimestral'!$J$4</c:f>
              <c:numCache>
                <c:formatCode>0.00%</c:formatCode>
                <c:ptCount val="1"/>
              </c:numCache>
            </c:numRef>
          </c:val>
          <c:extLst>
            <c:ext xmlns:c16="http://schemas.microsoft.com/office/drawing/2014/chart" uri="{C3380CC4-5D6E-409C-BE32-E72D297353CC}">
              <c16:uniqueId val="{00000002-4312-4DA0-8436-F1C716B90D2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67"/>
        <c:overlap val="-43"/>
        <c:axId val="284591560"/>
        <c:axId val="329413232"/>
      </c:barChart>
      <c:catAx>
        <c:axId val="284591560"/>
        <c:scaling>
          <c:orientation val="minMax"/>
        </c:scaling>
        <c:delete val="1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ajorTickMark val="none"/>
        <c:minorTickMark val="none"/>
        <c:tickLblPos val="nextTo"/>
        <c:crossAx val="329413232"/>
        <c:crosses val="autoZero"/>
        <c:auto val="1"/>
        <c:lblAlgn val="ctr"/>
        <c:lblOffset val="100"/>
        <c:noMultiLvlLbl val="0"/>
      </c:catAx>
      <c:valAx>
        <c:axId val="329413232"/>
        <c:scaling>
          <c:orientation val="minMax"/>
          <c:max val="1.6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200" b="1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pt-BR" sz="1100" b="1" i="0" baseline="0">
                    <a:effectLst/>
                  </a:rPr>
                  <a:t>% de Ocpuação</a:t>
                </a:r>
                <a:endParaRPr lang="pt-BR" sz="1100">
                  <a:effectLst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200" b="1" i="0" u="none" strike="noStrike" kern="1200" baseline="0">
                  <a:solidFill>
                    <a:schemeClr val="tx1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pt-BR"/>
            </a:p>
          </c:txPr>
        </c:title>
        <c:numFmt formatCode="0.0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pt-BR"/>
          </a:p>
        </c:txPr>
        <c:crossAx val="284591560"/>
        <c:crosses val="autoZero"/>
        <c:crossBetween val="between"/>
        <c:majorUnit val="0.1"/>
      </c:valAx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pt-BR"/>
        </a:p>
      </c:txPr>
    </c:legend>
    <c:plotVisOnly val="1"/>
    <c:dispBlanksAs val="gap"/>
    <c:showDLblsOverMax val="0"/>
  </c:chart>
  <c:spPr>
    <a:solidFill>
      <a:schemeClr val="lt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 sz="1200" b="1">
          <a:solidFill>
            <a:schemeClr val="tx1"/>
          </a:solidFill>
          <a:latin typeface="Arial" panose="020B0604020202020204" pitchFamily="34" charset="0"/>
          <a:cs typeface="Arial" panose="020B0604020202020204" pitchFamily="34" charset="0"/>
        </a:defRPr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40" b="1" i="0" u="none" strike="noStrike" kern="1200" cap="none" spc="0" normalizeH="0" baseline="0">
                <a:solidFill>
                  <a:schemeClr val="tx1"/>
                </a:solidFill>
                <a:latin typeface="Arial" panose="020B0604020202020204" pitchFamily="34" charset="0"/>
                <a:ea typeface="+mj-ea"/>
                <a:cs typeface="Arial" panose="020B0604020202020204" pitchFamily="34" charset="0"/>
              </a:defRPr>
            </a:pPr>
            <a:r>
              <a:rPr lang="pt-BR"/>
              <a:t>UTI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40" b="1" i="0" u="none" strike="noStrike" kern="1200" cap="none" spc="0" normalizeH="0" baseline="0">
              <a:solidFill>
                <a:schemeClr val="tx1"/>
              </a:solidFill>
              <a:latin typeface="Arial" panose="020B0604020202020204" pitchFamily="34" charset="0"/>
              <a:ea typeface="+mj-ea"/>
              <a:cs typeface="Arial" panose="020B0604020202020204" pitchFamily="34" charset="0"/>
            </a:defRPr>
          </a:pPr>
          <a:endParaRPr lang="pt-B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'% de Ocupação Trimestral'!$H$2</c:f>
              <c:strCache>
                <c:ptCount val="1"/>
                <c:pt idx="0">
                  <c:v>OUT</c:v>
                </c:pt>
              </c:strCache>
            </c:strRef>
          </c:tx>
          <c:spPr>
            <a:solidFill>
              <a:schemeClr val="accent6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1200" b="1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pt-B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dk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'% de Ocupação Trimestral'!$H$5</c:f>
              <c:numCache>
                <c:formatCode>0.00%</c:formatCode>
                <c:ptCount val="1"/>
                <c:pt idx="0">
                  <c:v>0.68709677419354842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AD2-4E16-9747-35EA7222B229}"/>
            </c:ext>
          </c:extLst>
        </c:ser>
        <c:ser>
          <c:idx val="1"/>
          <c:order val="1"/>
          <c:tx>
            <c:strRef>
              <c:f>'% de Ocupação Trimestral'!$I$2</c:f>
              <c:strCache>
                <c:ptCount val="1"/>
                <c:pt idx="0">
                  <c:v>NOV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1200" b="1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pt-B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dk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'% de Ocupação Trimestral'!$I$5</c:f>
              <c:numCache>
                <c:formatCode>0.00%</c:formatCode>
                <c:ptCount val="1"/>
                <c:pt idx="0">
                  <c:v>0.7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3AD2-4E16-9747-35EA7222B229}"/>
            </c:ext>
          </c:extLst>
        </c:ser>
        <c:ser>
          <c:idx val="2"/>
          <c:order val="2"/>
          <c:tx>
            <c:strRef>
              <c:f>'% de Ocupação Trimestral'!$J$2</c:f>
              <c:strCache>
                <c:ptCount val="1"/>
                <c:pt idx="0">
                  <c:v>DEZ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200" b="1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pt-B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dk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'% de Ocupação Trimestral'!$J$5</c:f>
              <c:numCache>
                <c:formatCode>0.00%</c:formatCode>
                <c:ptCount val="1"/>
              </c:numCache>
            </c:numRef>
          </c:val>
          <c:extLst>
            <c:ext xmlns:c16="http://schemas.microsoft.com/office/drawing/2014/chart" uri="{C3380CC4-5D6E-409C-BE32-E72D297353CC}">
              <c16:uniqueId val="{00000002-3AD2-4E16-9747-35EA7222B22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67"/>
        <c:overlap val="-43"/>
        <c:axId val="527565880"/>
        <c:axId val="527564312"/>
      </c:barChart>
      <c:catAx>
        <c:axId val="527565880"/>
        <c:scaling>
          <c:orientation val="minMax"/>
        </c:scaling>
        <c:delete val="1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ajorTickMark val="none"/>
        <c:minorTickMark val="none"/>
        <c:tickLblPos val="nextTo"/>
        <c:crossAx val="527564312"/>
        <c:crosses val="autoZero"/>
        <c:auto val="1"/>
        <c:lblAlgn val="ctr"/>
        <c:lblOffset val="100"/>
        <c:noMultiLvlLbl val="0"/>
      </c:catAx>
      <c:valAx>
        <c:axId val="527564312"/>
        <c:scaling>
          <c:orientation val="minMax"/>
          <c:max val="1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1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pt-BR" sz="1000"/>
                  <a:t>% de Ocpuação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chemeClr val="tx1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pt-BR"/>
            </a:p>
          </c:txPr>
        </c:title>
        <c:numFmt formatCode="0.0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pt-BR"/>
          </a:p>
        </c:txPr>
        <c:crossAx val="527565880"/>
        <c:crosses val="autoZero"/>
        <c:crossBetween val="between"/>
        <c:majorUnit val="0.1"/>
      </c:valAx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pt-BR"/>
        </a:p>
      </c:txPr>
    </c:legend>
    <c:plotVisOnly val="1"/>
    <c:dispBlanksAs val="gap"/>
    <c:showDLblsOverMax val="0"/>
  </c:chart>
  <c:spPr>
    <a:solidFill>
      <a:schemeClr val="lt1"/>
    </a:solidFill>
    <a:ln w="9525" cap="flat" cmpd="sng" algn="ctr">
      <a:solidFill>
        <a:sysClr val="windowText" lastClr="000000"/>
      </a:solidFill>
      <a:round/>
    </a:ln>
    <a:effectLst/>
  </c:spPr>
  <c:txPr>
    <a:bodyPr/>
    <a:lstStyle/>
    <a:p>
      <a:pPr>
        <a:defRPr sz="1200" b="1">
          <a:solidFill>
            <a:schemeClr val="tx1"/>
          </a:solidFill>
          <a:latin typeface="Arial" panose="020B0604020202020204" pitchFamily="34" charset="0"/>
          <a:cs typeface="Arial" panose="020B0604020202020204" pitchFamily="34" charset="0"/>
        </a:defRPr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40" b="1" i="0" u="none" strike="noStrike" kern="1200" cap="none" spc="0" normalizeH="0" baseline="0">
                <a:solidFill>
                  <a:schemeClr val="tx1"/>
                </a:solidFill>
                <a:latin typeface="Arial" panose="020B0604020202020204" pitchFamily="34" charset="0"/>
                <a:ea typeface="+mj-ea"/>
                <a:cs typeface="Arial" panose="020B0604020202020204" pitchFamily="34" charset="0"/>
              </a:defRPr>
            </a:pPr>
            <a:r>
              <a:rPr lang="pt-BR"/>
              <a:t>% Geral de Ocupação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40" b="1" i="0" u="none" strike="noStrike" kern="1200" cap="none" spc="0" normalizeH="0" baseline="0">
              <a:solidFill>
                <a:schemeClr val="tx1"/>
              </a:solidFill>
              <a:latin typeface="Arial" panose="020B0604020202020204" pitchFamily="34" charset="0"/>
              <a:ea typeface="+mj-ea"/>
              <a:cs typeface="Arial" panose="020B0604020202020204" pitchFamily="34" charset="0"/>
            </a:defRPr>
          </a:pPr>
          <a:endParaRPr lang="pt-B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'% de Ocupação Trimestral'!$H$2</c:f>
              <c:strCache>
                <c:ptCount val="1"/>
                <c:pt idx="0">
                  <c:v>OUT</c:v>
                </c:pt>
              </c:strCache>
            </c:strRef>
          </c:tx>
          <c:spPr>
            <a:solidFill>
              <a:schemeClr val="accent6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1200" b="1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pt-B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dk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'% de Ocupação Trimestral'!$H$6</c:f>
              <c:numCache>
                <c:formatCode>0.00%</c:formatCode>
                <c:ptCount val="1"/>
                <c:pt idx="0">
                  <c:v>0.68571428571428572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F93-43FC-B1B8-F16BF3E3B933}"/>
            </c:ext>
          </c:extLst>
        </c:ser>
        <c:ser>
          <c:idx val="1"/>
          <c:order val="1"/>
          <c:tx>
            <c:strRef>
              <c:f>'% de Ocupação Trimestral'!$I$2</c:f>
              <c:strCache>
                <c:ptCount val="1"/>
                <c:pt idx="0">
                  <c:v>NOV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1200" b="1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pt-B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dk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'% de Ocupação Trimestral'!$I$6</c:f>
              <c:numCache>
                <c:formatCode>0.00%</c:formatCode>
                <c:ptCount val="1"/>
                <c:pt idx="0">
                  <c:v>0.73333333333333328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6F93-43FC-B1B8-F16BF3E3B933}"/>
            </c:ext>
          </c:extLst>
        </c:ser>
        <c:ser>
          <c:idx val="2"/>
          <c:order val="2"/>
          <c:tx>
            <c:strRef>
              <c:f>'% de Ocupação Trimestral'!$J$2</c:f>
              <c:strCache>
                <c:ptCount val="1"/>
                <c:pt idx="0">
                  <c:v>DEZ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200" b="1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pt-BR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dk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'% de Ocupação Trimestral'!$J$6</c:f>
              <c:numCache>
                <c:formatCode>0.00%</c:formatCode>
                <c:ptCount val="1"/>
              </c:numCache>
            </c:numRef>
          </c:val>
          <c:extLst>
            <c:ext xmlns:c16="http://schemas.microsoft.com/office/drawing/2014/chart" uri="{C3380CC4-5D6E-409C-BE32-E72D297353CC}">
              <c16:uniqueId val="{00000002-6F93-43FC-B1B8-F16BF3E3B93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67"/>
        <c:overlap val="-43"/>
        <c:axId val="527563920"/>
        <c:axId val="527564704"/>
      </c:barChart>
      <c:catAx>
        <c:axId val="527563920"/>
        <c:scaling>
          <c:orientation val="minMax"/>
        </c:scaling>
        <c:delete val="1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ajorTickMark val="none"/>
        <c:minorTickMark val="none"/>
        <c:tickLblPos val="nextTo"/>
        <c:crossAx val="527564704"/>
        <c:crosses val="autoZero"/>
        <c:auto val="1"/>
        <c:lblAlgn val="ctr"/>
        <c:lblOffset val="100"/>
        <c:noMultiLvlLbl val="0"/>
      </c:catAx>
      <c:valAx>
        <c:axId val="527564704"/>
        <c:scaling>
          <c:orientation val="minMax"/>
          <c:max val="1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1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pt-BR" sz="1000"/>
                  <a:t>% de Ocpuação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chemeClr val="tx1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pt-BR"/>
            </a:p>
          </c:txPr>
        </c:title>
        <c:numFmt formatCode="0.0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pt-BR"/>
          </a:p>
        </c:txPr>
        <c:crossAx val="527563920"/>
        <c:crosses val="autoZero"/>
        <c:crossBetween val="between"/>
        <c:majorUnit val="0.1"/>
      </c:valAx>
      <c:spPr>
        <a:pattFill prst="ltDnDiag">
          <a:fgClr>
            <a:schemeClr val="dk1">
              <a:lumMod val="15000"/>
              <a:lumOff val="85000"/>
            </a:schemeClr>
          </a:fgClr>
          <a:bgClr>
            <a:schemeClr val="lt1"/>
          </a:bgClr>
        </a:pattFill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pt-BR"/>
        </a:p>
      </c:txPr>
    </c:legend>
    <c:plotVisOnly val="1"/>
    <c:dispBlanksAs val="gap"/>
    <c:showDLblsOverMax val="0"/>
  </c:chart>
  <c:spPr>
    <a:solidFill>
      <a:schemeClr val="lt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 sz="1200" b="1">
          <a:solidFill>
            <a:schemeClr val="tx1"/>
          </a:solidFill>
          <a:latin typeface="Arial" panose="020B0604020202020204" pitchFamily="34" charset="0"/>
          <a:cs typeface="Arial" panose="020B0604020202020204" pitchFamily="34" charset="0"/>
        </a:defRPr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pt-BR"/>
              <a:t>Média de Permanência - HJB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pt-BR"/>
        </a:p>
      </c:txPr>
    </c:title>
    <c:autoTitleDeleted val="0"/>
    <c:plotArea>
      <c:layout>
        <c:manualLayout>
          <c:layoutTarget val="inner"/>
          <c:xMode val="edge"/>
          <c:yMode val="edge"/>
          <c:x val="4.4915763821208217E-2"/>
          <c:y val="9.4272530115963635E-2"/>
          <c:w val="0.93552841594036551"/>
          <c:h val="0.82234194777108605"/>
        </c:manualLayout>
      </c:layout>
      <c:scatterChart>
        <c:scatterStyle val="lineMarker"/>
        <c:varyColors val="0"/>
        <c:ser>
          <c:idx val="0"/>
          <c:order val="0"/>
          <c:tx>
            <c:v>CLINICA CIRURGICA</c:v>
          </c:tx>
          <c:spPr>
            <a:ln w="9525" cap="rnd">
              <a:solidFill>
                <a:schemeClr val="accent1"/>
              </a:solidFill>
              <a:round/>
            </a:ln>
            <a:effectLst>
              <a:outerShdw blurRad="44450" dist="21590" dir="5400000" rotWithShape="0">
                <a:srgbClr val="000000">
                  <a:alpha val="40000"/>
                </a:srgbClr>
              </a:outerShdw>
            </a:effectLst>
          </c:spPr>
          <c:marker>
            <c:symbol val="circle"/>
            <c:size val="6"/>
            <c:spPr>
              <a:gradFill rotWithShape="1">
                <a:gsLst>
                  <a:gs pos="0">
                    <a:schemeClr val="accent1">
                      <a:shade val="85000"/>
                    </a:schemeClr>
                  </a:gs>
                  <a:gs pos="100000">
                    <a:schemeClr val="accent1">
                      <a:tint val="90000"/>
                      <a:alpha val="100000"/>
                      <a:satMod val="180000"/>
                    </a:schemeClr>
                  </a:gs>
                </a:gsLst>
                <a:path path="circle">
                  <a:fillToRect l="100000" t="100000" r="100000" b="100000"/>
                </a:path>
              </a:gradFill>
              <a:ln w="9525" cap="rnd">
                <a:solidFill>
                  <a:schemeClr val="accent1"/>
                </a:solidFill>
                <a:round/>
              </a:ln>
              <a:effectLst>
                <a:outerShdw blurRad="44450" dist="21590" dir="5400000" rotWithShape="0">
                  <a:srgbClr val="000000">
                    <a:alpha val="40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flat" dir="t">
                  <a:rot lat="0" lon="0" rev="3600000"/>
                </a:lightRig>
              </a:scene3d>
              <a:sp3d prstMaterial="flat">
                <a:bevelT w="28575" h="41275" prst="coolSlant"/>
              </a:sp3d>
            </c:spPr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pt-BR"/>
              </a:p>
            </c:txPr>
            <c:dLblPos val="l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xVal>
            <c:strRef>
              <c:f>'Média de Permanência'!$B$1:$M$1</c:f>
              <c:strCache>
                <c:ptCount val="12"/>
                <c:pt idx="0">
                  <c:v>JAN</c:v>
                </c:pt>
                <c:pt idx="1">
                  <c:v>FEV</c:v>
                </c:pt>
                <c:pt idx="2">
                  <c:v>MAR</c:v>
                </c:pt>
                <c:pt idx="3">
                  <c:v>ABR</c:v>
                </c:pt>
                <c:pt idx="4">
                  <c:v>MAI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SET</c:v>
                </c:pt>
                <c:pt idx="9">
                  <c:v>OUT</c:v>
                </c:pt>
                <c:pt idx="10">
                  <c:v>NOV</c:v>
                </c:pt>
                <c:pt idx="11">
                  <c:v>DEZ</c:v>
                </c:pt>
              </c:strCache>
            </c:strRef>
          </c:xVal>
          <c:yVal>
            <c:numRef>
              <c:f>'Média de Permanência'!$B$3:$M$3</c:f>
              <c:numCache>
                <c:formatCode>#,##0.00</c:formatCode>
                <c:ptCount val="12"/>
                <c:pt idx="0">
                  <c:v>4.0319148936170217</c:v>
                </c:pt>
                <c:pt idx="1">
                  <c:v>4.0418848167539263</c:v>
                </c:pt>
                <c:pt idx="2">
                  <c:v>3.5901639344262297</c:v>
                </c:pt>
                <c:pt idx="3">
                  <c:v>4.7142857142857144</c:v>
                </c:pt>
                <c:pt idx="4">
                  <c:v>4.1978609625668453</c:v>
                </c:pt>
                <c:pt idx="5">
                  <c:v>3.4162436548223352</c:v>
                </c:pt>
                <c:pt idx="6">
                  <c:v>3.3990384615384617</c:v>
                </c:pt>
                <c:pt idx="7">
                  <c:v>3.5694444444444446</c:v>
                </c:pt>
                <c:pt idx="8">
                  <c:v>3.3333333333333335</c:v>
                </c:pt>
                <c:pt idx="9">
                  <c:v>3.6323529411764706</c:v>
                </c:pt>
                <c:pt idx="10">
                  <c:v>4.2216494845360826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9637-4FDF-8313-332591819AC4}"/>
            </c:ext>
          </c:extLst>
        </c:ser>
        <c:ser>
          <c:idx val="1"/>
          <c:order val="1"/>
          <c:tx>
            <c:v>CLÍNICA MÉDICA</c:v>
          </c:tx>
          <c:spPr>
            <a:ln w="9525" cap="rnd">
              <a:solidFill>
                <a:schemeClr val="accent2"/>
              </a:solidFill>
              <a:round/>
            </a:ln>
            <a:effectLst>
              <a:outerShdw blurRad="44450" dist="21590" dir="5400000" rotWithShape="0">
                <a:srgbClr val="000000">
                  <a:alpha val="40000"/>
                </a:srgbClr>
              </a:outerShdw>
            </a:effectLst>
          </c:spPr>
          <c:marker>
            <c:symbol val="circle"/>
            <c:size val="6"/>
            <c:spPr>
              <a:gradFill rotWithShape="1">
                <a:gsLst>
                  <a:gs pos="0">
                    <a:schemeClr val="accent2">
                      <a:shade val="85000"/>
                    </a:schemeClr>
                  </a:gs>
                  <a:gs pos="100000">
                    <a:schemeClr val="accent2">
                      <a:tint val="90000"/>
                      <a:alpha val="100000"/>
                      <a:satMod val="180000"/>
                    </a:schemeClr>
                  </a:gs>
                </a:gsLst>
                <a:path path="circle">
                  <a:fillToRect l="100000" t="100000" r="100000" b="100000"/>
                </a:path>
              </a:gradFill>
              <a:ln w="9525" cap="rnd">
                <a:solidFill>
                  <a:schemeClr val="accent2"/>
                </a:solidFill>
                <a:round/>
              </a:ln>
              <a:effectLst>
                <a:outerShdw blurRad="44450" dist="21590" dir="5400000" rotWithShape="0">
                  <a:srgbClr val="000000">
                    <a:alpha val="40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flat" dir="t">
                  <a:rot lat="0" lon="0" rev="3600000"/>
                </a:lightRig>
              </a:scene3d>
              <a:sp3d prstMaterial="flat">
                <a:bevelT w="28575" h="41275" prst="coolSlant"/>
              </a:sp3d>
            </c:spPr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pt-BR"/>
              </a:p>
            </c:txPr>
            <c:dLblPos val="l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xVal>
            <c:strRef>
              <c:f>'Média de Permanência'!$B$1:$M$1</c:f>
              <c:strCache>
                <c:ptCount val="12"/>
                <c:pt idx="0">
                  <c:v>JAN</c:v>
                </c:pt>
                <c:pt idx="1">
                  <c:v>FEV</c:v>
                </c:pt>
                <c:pt idx="2">
                  <c:v>MAR</c:v>
                </c:pt>
                <c:pt idx="3">
                  <c:v>ABR</c:v>
                </c:pt>
                <c:pt idx="4">
                  <c:v>MAI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SET</c:v>
                </c:pt>
                <c:pt idx="9">
                  <c:v>OUT</c:v>
                </c:pt>
                <c:pt idx="10">
                  <c:v>NOV</c:v>
                </c:pt>
                <c:pt idx="11">
                  <c:v>DEZ</c:v>
                </c:pt>
              </c:strCache>
            </c:strRef>
          </c:xVal>
          <c:yVal>
            <c:numRef>
              <c:f>'Média de Permanência'!$B$4:$M$4</c:f>
              <c:numCache>
                <c:formatCode>#,##0.00</c:formatCode>
                <c:ptCount val="12"/>
                <c:pt idx="0">
                  <c:v>30.6</c:v>
                </c:pt>
                <c:pt idx="1">
                  <c:v>17.884615384615383</c:v>
                </c:pt>
                <c:pt idx="2">
                  <c:v>16.428571428571427</c:v>
                </c:pt>
                <c:pt idx="3">
                  <c:v>6.2877697841726619</c:v>
                </c:pt>
                <c:pt idx="4">
                  <c:v>13.432432432432432</c:v>
                </c:pt>
                <c:pt idx="5">
                  <c:v>16.06451612903226</c:v>
                </c:pt>
                <c:pt idx="6">
                  <c:v>11.772727272727273</c:v>
                </c:pt>
                <c:pt idx="7">
                  <c:v>16.785714285714285</c:v>
                </c:pt>
                <c:pt idx="8">
                  <c:v>12.69047619047619</c:v>
                </c:pt>
                <c:pt idx="9">
                  <c:v>17.225806451612904</c:v>
                </c:pt>
                <c:pt idx="10">
                  <c:v>13.102564102564102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9637-4FDF-8313-332591819AC4}"/>
            </c:ext>
          </c:extLst>
        </c:ser>
        <c:ser>
          <c:idx val="2"/>
          <c:order val="2"/>
          <c:tx>
            <c:v>UTI</c:v>
          </c:tx>
          <c:spPr>
            <a:ln w="9525" cap="rnd">
              <a:solidFill>
                <a:schemeClr val="accent3"/>
              </a:solidFill>
              <a:round/>
            </a:ln>
            <a:effectLst>
              <a:outerShdw blurRad="44450" dist="21590" dir="5400000" rotWithShape="0">
                <a:srgbClr val="000000">
                  <a:alpha val="40000"/>
                </a:srgbClr>
              </a:outerShdw>
            </a:effectLst>
          </c:spPr>
          <c:marker>
            <c:symbol val="circle"/>
            <c:size val="6"/>
            <c:spPr>
              <a:gradFill rotWithShape="1">
                <a:gsLst>
                  <a:gs pos="0">
                    <a:schemeClr val="accent3">
                      <a:shade val="85000"/>
                    </a:schemeClr>
                  </a:gs>
                  <a:gs pos="100000">
                    <a:schemeClr val="accent3">
                      <a:tint val="90000"/>
                      <a:alpha val="100000"/>
                      <a:satMod val="180000"/>
                    </a:schemeClr>
                  </a:gs>
                </a:gsLst>
                <a:path path="circle">
                  <a:fillToRect l="100000" t="100000" r="100000" b="100000"/>
                </a:path>
              </a:gradFill>
              <a:ln w="9525" cap="rnd">
                <a:solidFill>
                  <a:schemeClr val="accent3"/>
                </a:solidFill>
                <a:round/>
              </a:ln>
              <a:effectLst>
                <a:outerShdw blurRad="44450" dist="21590" dir="5400000" rotWithShape="0">
                  <a:srgbClr val="000000">
                    <a:alpha val="40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flat" dir="t">
                  <a:rot lat="0" lon="0" rev="3600000"/>
                </a:lightRig>
              </a:scene3d>
              <a:sp3d prstMaterial="flat">
                <a:bevelT w="28575" h="41275" prst="coolSlant"/>
              </a:sp3d>
            </c:spPr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pt-BR"/>
              </a:p>
            </c:txPr>
            <c:dLblPos val="l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xVal>
            <c:strRef>
              <c:f>'Média de Permanência'!$B$1:$M$1</c:f>
              <c:strCache>
                <c:ptCount val="12"/>
                <c:pt idx="0">
                  <c:v>JAN</c:v>
                </c:pt>
                <c:pt idx="1">
                  <c:v>FEV</c:v>
                </c:pt>
                <c:pt idx="2">
                  <c:v>MAR</c:v>
                </c:pt>
                <c:pt idx="3">
                  <c:v>ABR</c:v>
                </c:pt>
                <c:pt idx="4">
                  <c:v>MAI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SET</c:v>
                </c:pt>
                <c:pt idx="9">
                  <c:v>OUT</c:v>
                </c:pt>
                <c:pt idx="10">
                  <c:v>NOV</c:v>
                </c:pt>
                <c:pt idx="11">
                  <c:v>DEZ</c:v>
                </c:pt>
              </c:strCache>
            </c:strRef>
          </c:xVal>
          <c:yVal>
            <c:numRef>
              <c:f>'Média de Permanência'!$B$5:$M$5</c:f>
              <c:numCache>
                <c:formatCode>#,##0.00</c:formatCode>
                <c:ptCount val="12"/>
                <c:pt idx="0">
                  <c:v>8.7222222222222214</c:v>
                </c:pt>
                <c:pt idx="1">
                  <c:v>6.583333333333333</c:v>
                </c:pt>
                <c:pt idx="2">
                  <c:v>19.583333333333332</c:v>
                </c:pt>
                <c:pt idx="3">
                  <c:v>9.4347826086956523</c:v>
                </c:pt>
                <c:pt idx="4">
                  <c:v>9</c:v>
                </c:pt>
                <c:pt idx="5">
                  <c:v>8.65</c:v>
                </c:pt>
                <c:pt idx="6">
                  <c:v>5.875</c:v>
                </c:pt>
                <c:pt idx="7">
                  <c:v>5.78125</c:v>
                </c:pt>
                <c:pt idx="8">
                  <c:v>5.7931034482758621</c:v>
                </c:pt>
                <c:pt idx="9">
                  <c:v>11.833333333333334</c:v>
                </c:pt>
                <c:pt idx="10">
                  <c:v>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9637-4FDF-8313-332591819AC4}"/>
            </c:ext>
          </c:extLst>
        </c:ser>
        <c:ser>
          <c:idx val="3"/>
          <c:order val="3"/>
          <c:tx>
            <c:v>MÉDIA GERAL</c:v>
          </c:tx>
          <c:spPr>
            <a:ln w="9525" cap="rnd">
              <a:solidFill>
                <a:schemeClr val="accent4"/>
              </a:solidFill>
              <a:round/>
            </a:ln>
            <a:effectLst>
              <a:outerShdw blurRad="44450" dist="21590" dir="5400000" rotWithShape="0">
                <a:srgbClr val="000000">
                  <a:alpha val="40000"/>
                </a:srgbClr>
              </a:outerShdw>
            </a:effectLst>
          </c:spPr>
          <c:marker>
            <c:symbol val="circle"/>
            <c:size val="6"/>
            <c:spPr>
              <a:gradFill rotWithShape="1">
                <a:gsLst>
                  <a:gs pos="0">
                    <a:schemeClr val="accent4">
                      <a:shade val="85000"/>
                    </a:schemeClr>
                  </a:gs>
                  <a:gs pos="100000">
                    <a:schemeClr val="accent4">
                      <a:tint val="90000"/>
                      <a:alpha val="100000"/>
                      <a:satMod val="180000"/>
                    </a:schemeClr>
                  </a:gs>
                </a:gsLst>
                <a:path path="circle">
                  <a:fillToRect l="100000" t="100000" r="100000" b="100000"/>
                </a:path>
              </a:gradFill>
              <a:ln w="9525" cap="rnd">
                <a:solidFill>
                  <a:schemeClr val="accent4"/>
                </a:solidFill>
                <a:round/>
              </a:ln>
              <a:effectLst>
                <a:outerShdw blurRad="44450" dist="21590" dir="5400000" rotWithShape="0">
                  <a:srgbClr val="000000">
                    <a:alpha val="40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flat" dir="t">
                  <a:rot lat="0" lon="0" rev="3600000"/>
                </a:lightRig>
              </a:scene3d>
              <a:sp3d prstMaterial="flat">
                <a:bevelT w="28575" h="41275" prst="coolSlant"/>
              </a:sp3d>
            </c:spPr>
          </c:marker>
          <c:dLbls>
            <c:dLbl>
              <c:idx val="3"/>
              <c:layout>
                <c:manualLayout>
                  <c:x val="-4.7296300969780172E-2"/>
                  <c:y val="-2.7976094757456133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A0B7-4ED4-AA85-7A9A7551ABAD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pt-BR"/>
              </a:p>
            </c:txPr>
            <c:dLblPos val="l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xVal>
            <c:strRef>
              <c:f>'Média de Permanência'!$B$1:$M$1</c:f>
              <c:strCache>
                <c:ptCount val="12"/>
                <c:pt idx="0">
                  <c:v>JAN</c:v>
                </c:pt>
                <c:pt idx="1">
                  <c:v>FEV</c:v>
                </c:pt>
                <c:pt idx="2">
                  <c:v>MAR</c:v>
                </c:pt>
                <c:pt idx="3">
                  <c:v>ABR</c:v>
                </c:pt>
                <c:pt idx="4">
                  <c:v>MAI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SET</c:v>
                </c:pt>
                <c:pt idx="9">
                  <c:v>OUT</c:v>
                </c:pt>
                <c:pt idx="10">
                  <c:v>NOV</c:v>
                </c:pt>
                <c:pt idx="11">
                  <c:v>DEZ</c:v>
                </c:pt>
              </c:strCache>
            </c:strRef>
          </c:xVal>
          <c:yVal>
            <c:numRef>
              <c:f>'Média de Permanência'!$B$6:$M$6</c:f>
              <c:numCache>
                <c:formatCode>#,##0.00</c:formatCode>
                <c:ptCount val="12"/>
                <c:pt idx="0">
                  <c:v>6.2171945701357467</c:v>
                </c:pt>
                <c:pt idx="1">
                  <c:v>5.7883817427385891</c:v>
                </c:pt>
                <c:pt idx="2">
                  <c:v>6.0627802690582957</c:v>
                </c:pt>
                <c:pt idx="3">
                  <c:v>6.6508875739644973</c:v>
                </c:pt>
                <c:pt idx="4">
                  <c:v>6.0040816326530608</c:v>
                </c:pt>
                <c:pt idx="5">
                  <c:v>5.419354838709677</c:v>
                </c:pt>
                <c:pt idx="6">
                  <c:v>4.975352112676056</c:v>
                </c:pt>
                <c:pt idx="7">
                  <c:v>5.166666666666667</c:v>
                </c:pt>
                <c:pt idx="8">
                  <c:v>5.0404411764705879</c:v>
                </c:pt>
                <c:pt idx="9">
                  <c:v>5.8814229249011856</c:v>
                </c:pt>
                <c:pt idx="10">
                  <c:v>5.8555133079847907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9637-4FDF-8313-332591819AC4}"/>
            </c:ext>
          </c:extLst>
        </c:ser>
        <c:dLbls>
          <c:dLblPos val="l"/>
          <c:showLegendKey val="0"/>
          <c:showVal val="1"/>
          <c:showCatName val="0"/>
          <c:showSerName val="0"/>
          <c:showPercent val="0"/>
          <c:showBubbleSize val="0"/>
        </c:dLbls>
        <c:axId val="527565488"/>
        <c:axId val="527567056"/>
      </c:scatterChart>
      <c:valAx>
        <c:axId val="527565488"/>
        <c:scaling>
          <c:orientation val="minMax"/>
          <c:max val="12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pt-BR"/>
          </a:p>
        </c:txPr>
        <c:crossAx val="527567056"/>
        <c:crosses val="autoZero"/>
        <c:crossBetween val="midCat"/>
        <c:majorUnit val="1"/>
      </c:valAx>
      <c:valAx>
        <c:axId val="527567056"/>
        <c:scaling>
          <c:orientation val="minMax"/>
          <c:max val="33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pt-BR"/>
          </a:p>
        </c:txPr>
        <c:crossAx val="527565488"/>
        <c:crosses val="autoZero"/>
        <c:crossBetween val="midCat"/>
        <c:majorUnit val="3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24897645236166416"/>
          <c:y val="0.95686283738302491"/>
          <c:w val="0.50204699781450846"/>
          <c:h val="4.3137162616975144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1" i="0" u="none" strike="noStrike" kern="12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pt-B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b="1">
          <a:solidFill>
            <a:schemeClr val="tx1"/>
          </a:solidFill>
          <a:latin typeface="Arial" panose="020B0604020202020204" pitchFamily="34" charset="0"/>
          <a:cs typeface="Arial" panose="020B0604020202020204" pitchFamily="34" charset="0"/>
        </a:defRPr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 orientation="landscape"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1">
  <a:schemeClr val="accent1"/>
  <a:schemeClr val="accent3"/>
  <a:schemeClr val="accent5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1">
  <a:schemeClr val="accent1"/>
  <a:schemeClr val="accent3"/>
  <a:schemeClr val="accent5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1">
  <a:schemeClr val="accent1"/>
  <a:schemeClr val="accent3"/>
  <a:schemeClr val="accent5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1">
  <a:schemeClr val="accent1"/>
  <a:schemeClr val="accent3"/>
  <a:schemeClr val="accent5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6">
  <cs:axisTitle>
    <cs:lnRef idx="0"/>
    <cs:fillRef idx="0"/>
    <cs:effectRef idx="0"/>
    <cs:fontRef idx="minor">
      <a:schemeClr val="tx1">
        <a:lumMod val="50000"/>
        <a:lumOff val="50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50000"/>
        <a:lumOff val="50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>
  <cs:dataPoint3D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3D>
  <cs:dataPointLine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158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Marker>
  <cs:dataPointMarkerLayout symbol="circle" size="4"/>
  <cs:dataPointWireframe>
    <cs:lnRef idx="0">
      <cs:styleClr val="auto"/>
    </cs:lnRef>
    <cs:fillRef idx="2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50000"/>
        <a:lumOff val="50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50000"/>
        <a:lumOff val="50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1">
        <a:lumMod val="50000"/>
        <a:lumOff val="50000"/>
      </a:schemeClr>
    </cs:fontRef>
    <cs:defRPr sz="1400" kern="1200" cap="none" spc="20" baseline="0"/>
  </cs:title>
  <cs:trendline>
    <cs:lnRef idx="0">
      <cs:styleClr val="auto"/>
    </cs:lnRef>
    <cs:fillRef idx="2"/>
    <cs:effectRef idx="0"/>
    <cs:fontRef idx="minor">
      <a:schemeClr val="dk1"/>
    </cs:fontRef>
    <cs:spPr>
      <a:ln w="952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50000"/>
            <a:lumOff val="50000"/>
          </a:schemeClr>
        </a:solidFill>
      </a:ln>
    </cs:spPr>
  </cs:upBar>
  <cs:valueAxis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06">
  <cs:axisTitle>
    <cs:lnRef idx="0"/>
    <cs:fillRef idx="0"/>
    <cs:effectRef idx="0"/>
    <cs:fontRef idx="minor">
      <a:schemeClr val="tx1">
        <a:lumMod val="50000"/>
        <a:lumOff val="50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50000"/>
        <a:lumOff val="50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>
  <cs:dataPoint3D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3D>
  <cs:dataPointLine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158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Marker>
  <cs:dataPointMarkerLayout symbol="circle" size="4"/>
  <cs:dataPointWireframe>
    <cs:lnRef idx="0">
      <cs:styleClr val="auto"/>
    </cs:lnRef>
    <cs:fillRef idx="2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50000"/>
        <a:lumOff val="50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50000"/>
        <a:lumOff val="50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1">
        <a:lumMod val="50000"/>
        <a:lumOff val="50000"/>
      </a:schemeClr>
    </cs:fontRef>
    <cs:defRPr sz="1400" kern="1200" cap="none" spc="20" baseline="0"/>
  </cs:title>
  <cs:trendline>
    <cs:lnRef idx="0">
      <cs:styleClr val="auto"/>
    </cs:lnRef>
    <cs:fillRef idx="2"/>
    <cs:effectRef idx="0"/>
    <cs:fontRef idx="minor">
      <a:schemeClr val="dk1"/>
    </cs:fontRef>
    <cs:spPr>
      <a:ln w="952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50000"/>
            <a:lumOff val="50000"/>
          </a:schemeClr>
        </a:solidFill>
      </a:ln>
    </cs:spPr>
  </cs:upBar>
  <cs:valueAxis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3.xml><?xml version="1.0" encoding="utf-8"?>
<cs:chartStyle xmlns:cs="http://schemas.microsoft.com/office/drawing/2012/chartStyle" xmlns:a="http://schemas.openxmlformats.org/drawingml/2006/main" id="206">
  <cs:axisTitle>
    <cs:lnRef idx="0"/>
    <cs:fillRef idx="0"/>
    <cs:effectRef idx="0"/>
    <cs:fontRef idx="minor">
      <a:schemeClr val="tx1">
        <a:lumMod val="50000"/>
        <a:lumOff val="50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50000"/>
        <a:lumOff val="50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>
  <cs:dataPoint3D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3D>
  <cs:dataPointLine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158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Marker>
  <cs:dataPointMarkerLayout symbol="circle" size="4"/>
  <cs:dataPointWireframe>
    <cs:lnRef idx="0">
      <cs:styleClr val="auto"/>
    </cs:lnRef>
    <cs:fillRef idx="2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50000"/>
        <a:lumOff val="50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50000"/>
        <a:lumOff val="50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1">
        <a:lumMod val="50000"/>
        <a:lumOff val="50000"/>
      </a:schemeClr>
    </cs:fontRef>
    <cs:defRPr sz="1400" kern="1200" cap="none" spc="20" baseline="0"/>
  </cs:title>
  <cs:trendline>
    <cs:lnRef idx="0">
      <cs:styleClr val="auto"/>
    </cs:lnRef>
    <cs:fillRef idx="2"/>
    <cs:effectRef idx="0"/>
    <cs:fontRef idx="minor">
      <a:schemeClr val="dk1"/>
    </cs:fontRef>
    <cs:spPr>
      <a:ln w="952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50000"/>
            <a:lumOff val="50000"/>
          </a:schemeClr>
        </a:solidFill>
      </a:ln>
    </cs:spPr>
  </cs:upBar>
  <cs:valueAxis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4.xml><?xml version="1.0" encoding="utf-8"?>
<cs:chartStyle xmlns:cs="http://schemas.microsoft.com/office/drawing/2012/chartStyle" xmlns:a="http://schemas.openxmlformats.org/drawingml/2006/main" id="206">
  <cs:axisTitle>
    <cs:lnRef idx="0"/>
    <cs:fillRef idx="0"/>
    <cs:effectRef idx="0"/>
    <cs:fontRef idx="minor">
      <a:schemeClr val="tx1">
        <a:lumMod val="50000"/>
        <a:lumOff val="50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50000"/>
        <a:lumOff val="50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>
  <cs:dataPoint3D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3D>
  <cs:dataPointLine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158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Marker>
  <cs:dataPointMarkerLayout symbol="circle" size="4"/>
  <cs:dataPointWireframe>
    <cs:lnRef idx="0">
      <cs:styleClr val="auto"/>
    </cs:lnRef>
    <cs:fillRef idx="2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50000"/>
        <a:lumOff val="50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50000"/>
        <a:lumOff val="50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1">
        <a:lumMod val="50000"/>
        <a:lumOff val="50000"/>
      </a:schemeClr>
    </cs:fontRef>
    <cs:defRPr sz="1400" kern="1200" cap="none" spc="20" baseline="0"/>
  </cs:title>
  <cs:trendline>
    <cs:lnRef idx="0">
      <cs:styleClr val="auto"/>
    </cs:lnRef>
    <cs:fillRef idx="2"/>
    <cs:effectRef idx="0"/>
    <cs:fontRef idx="minor">
      <a:schemeClr val="dk1"/>
    </cs:fontRef>
    <cs:spPr>
      <a:ln w="952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50000"/>
            <a:lumOff val="50000"/>
          </a:schemeClr>
        </a:solidFill>
      </a:ln>
    </cs:spPr>
  </cs:upBar>
  <cs:valueAxis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5.xml><?xml version="1.0" encoding="utf-8"?>
<cs:chartStyle xmlns:cs="http://schemas.microsoft.com/office/drawing/2012/chartStyle" xmlns:a="http://schemas.openxmlformats.org/drawingml/2006/main" id="208">
  <cs:axisTitle>
    <cs:lnRef idx="0"/>
    <cs:fillRef idx="0"/>
    <cs:effectRef idx="0"/>
    <cs:fontRef idx="minor">
      <a:schemeClr val="dk1">
        <a:lumMod val="65000"/>
        <a:lumOff val="3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 cap="none" spc="0" normalizeH="0" baseline="0"/>
  </cs:categoryAxis>
  <cs:chartArea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22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lt1"/>
      </a:solidFill>
      <a:ln w="1587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8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dk1">
            <a:lumMod val="50000"/>
            <a:lumOff val="50000"/>
          </a:schemeClr>
        </a:solidFill>
        <a:round/>
      </a:ln>
    </cs:spPr>
  </cs:downBar>
  <cs:drop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50000"/>
            <a:lumOff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  <cs:spPr>
      <a:pattFill prst="ltDnDiag">
        <a:fgClr>
          <a:schemeClr val="dk1">
            <a:lumMod val="15000"/>
            <a:lumOff val="85000"/>
          </a:schemeClr>
        </a:fgClr>
        <a:bgClr>
          <a:schemeClr val="lt1"/>
        </a:bgClr>
      </a:pattFill>
    </cs:spPr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dk1"/>
    </cs:fontRef>
    <cs:spPr>
      <a:pattFill prst="ltDnDiag">
        <a:fgClr>
          <a:schemeClr val="dk1">
            <a:lumMod val="15000"/>
            <a:lumOff val="85000"/>
          </a:schemeClr>
        </a:fgClr>
        <a:bgClr>
          <a:schemeClr val="lt1"/>
        </a:bgClr>
      </a:pattFill>
    </cs:spPr>
  </cs:plotArea>
  <cs:plotArea3D>
    <cs:lnRef idx="0"/>
    <cs:fillRef idx="0"/>
    <cs:effectRef idx="0"/>
    <cs:fontRef idx="minor">
      <a:schemeClr val="dk1"/>
    </cs:fontRef>
    <cs:spPr>
      <a:solidFill>
        <a:schemeClr val="lt1"/>
      </a:solidFill>
    </cs:spPr>
  </cs:plotArea3D>
  <cs:series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ajor">
      <a:schemeClr val="dk1">
        <a:lumMod val="50000"/>
        <a:lumOff val="50000"/>
      </a:schemeClr>
    </cs:fontRef>
    <cs:defRPr sz="1600" b="1" kern="1200" cap="none" spc="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dk1">
            <a:lumMod val="50000"/>
            <a:lumOff val="50000"/>
          </a:schemeClr>
        </a:solidFill>
        <a:round/>
      </a:ln>
    </cs:spPr>
  </cs:upBar>
  <cs:value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  <cs:spPr>
      <a:pattFill prst="ltDnDiag">
        <a:fgClr>
          <a:schemeClr val="dk1">
            <a:lumMod val="15000"/>
            <a:lumOff val="85000"/>
          </a:schemeClr>
        </a:fgClr>
        <a:bgClr>
          <a:schemeClr val="lt1"/>
        </a:bgClr>
      </a:pattFill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08">
  <cs:axisTitle>
    <cs:lnRef idx="0"/>
    <cs:fillRef idx="0"/>
    <cs:effectRef idx="0"/>
    <cs:fontRef idx="minor">
      <a:schemeClr val="dk1">
        <a:lumMod val="65000"/>
        <a:lumOff val="3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 cap="none" spc="0" normalizeH="0" baseline="0"/>
  </cs:categoryAxis>
  <cs:chartArea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22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lt1"/>
      </a:solidFill>
      <a:ln w="1587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8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dk1">
            <a:lumMod val="50000"/>
            <a:lumOff val="50000"/>
          </a:schemeClr>
        </a:solidFill>
        <a:round/>
      </a:ln>
    </cs:spPr>
  </cs:downBar>
  <cs:drop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50000"/>
            <a:lumOff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  <cs:spPr>
      <a:pattFill prst="ltDnDiag">
        <a:fgClr>
          <a:schemeClr val="dk1">
            <a:lumMod val="15000"/>
            <a:lumOff val="85000"/>
          </a:schemeClr>
        </a:fgClr>
        <a:bgClr>
          <a:schemeClr val="lt1"/>
        </a:bgClr>
      </a:pattFill>
    </cs:spPr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dk1"/>
    </cs:fontRef>
    <cs:spPr>
      <a:pattFill prst="ltDnDiag">
        <a:fgClr>
          <a:schemeClr val="dk1">
            <a:lumMod val="15000"/>
            <a:lumOff val="85000"/>
          </a:schemeClr>
        </a:fgClr>
        <a:bgClr>
          <a:schemeClr val="lt1"/>
        </a:bgClr>
      </a:pattFill>
    </cs:spPr>
  </cs:plotArea>
  <cs:plotArea3D>
    <cs:lnRef idx="0"/>
    <cs:fillRef idx="0"/>
    <cs:effectRef idx="0"/>
    <cs:fontRef idx="minor">
      <a:schemeClr val="dk1"/>
    </cs:fontRef>
    <cs:spPr>
      <a:solidFill>
        <a:schemeClr val="lt1"/>
      </a:solidFill>
    </cs:spPr>
  </cs:plotArea3D>
  <cs:series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ajor">
      <a:schemeClr val="dk1">
        <a:lumMod val="50000"/>
        <a:lumOff val="50000"/>
      </a:schemeClr>
    </cs:fontRef>
    <cs:defRPr sz="1600" b="1" kern="1200" cap="none" spc="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dk1">
            <a:lumMod val="50000"/>
            <a:lumOff val="50000"/>
          </a:schemeClr>
        </a:solidFill>
        <a:round/>
      </a:ln>
    </cs:spPr>
  </cs:upBar>
  <cs:value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  <cs:spPr>
      <a:pattFill prst="ltDnDiag">
        <a:fgClr>
          <a:schemeClr val="dk1">
            <a:lumMod val="15000"/>
            <a:lumOff val="85000"/>
          </a:schemeClr>
        </a:fgClr>
        <a:bgClr>
          <a:schemeClr val="lt1"/>
        </a:bgClr>
      </a:pattFill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08">
  <cs:axisTitle>
    <cs:lnRef idx="0"/>
    <cs:fillRef idx="0"/>
    <cs:effectRef idx="0"/>
    <cs:fontRef idx="minor">
      <a:schemeClr val="dk1">
        <a:lumMod val="65000"/>
        <a:lumOff val="3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 cap="none" spc="0" normalizeH="0" baseline="0"/>
  </cs:categoryAxis>
  <cs:chartArea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22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lt1"/>
      </a:solidFill>
      <a:ln w="1587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8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dk1">
            <a:lumMod val="50000"/>
            <a:lumOff val="50000"/>
          </a:schemeClr>
        </a:solidFill>
        <a:round/>
      </a:ln>
    </cs:spPr>
  </cs:downBar>
  <cs:drop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50000"/>
            <a:lumOff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  <cs:spPr>
      <a:pattFill prst="ltDnDiag">
        <a:fgClr>
          <a:schemeClr val="dk1">
            <a:lumMod val="15000"/>
            <a:lumOff val="85000"/>
          </a:schemeClr>
        </a:fgClr>
        <a:bgClr>
          <a:schemeClr val="lt1"/>
        </a:bgClr>
      </a:pattFill>
    </cs:spPr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dk1"/>
    </cs:fontRef>
    <cs:spPr>
      <a:pattFill prst="ltDnDiag">
        <a:fgClr>
          <a:schemeClr val="dk1">
            <a:lumMod val="15000"/>
            <a:lumOff val="85000"/>
          </a:schemeClr>
        </a:fgClr>
        <a:bgClr>
          <a:schemeClr val="lt1"/>
        </a:bgClr>
      </a:pattFill>
    </cs:spPr>
  </cs:plotArea>
  <cs:plotArea3D>
    <cs:lnRef idx="0"/>
    <cs:fillRef idx="0"/>
    <cs:effectRef idx="0"/>
    <cs:fontRef idx="minor">
      <a:schemeClr val="dk1"/>
    </cs:fontRef>
    <cs:spPr>
      <a:solidFill>
        <a:schemeClr val="lt1"/>
      </a:solidFill>
    </cs:spPr>
  </cs:plotArea3D>
  <cs:series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ajor">
      <a:schemeClr val="dk1">
        <a:lumMod val="50000"/>
        <a:lumOff val="50000"/>
      </a:schemeClr>
    </cs:fontRef>
    <cs:defRPr sz="1600" b="1" kern="1200" cap="none" spc="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dk1">
            <a:lumMod val="50000"/>
            <a:lumOff val="50000"/>
          </a:schemeClr>
        </a:solidFill>
        <a:round/>
      </a:ln>
    </cs:spPr>
  </cs:upBar>
  <cs:value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  <cs:spPr>
      <a:pattFill prst="ltDnDiag">
        <a:fgClr>
          <a:schemeClr val="dk1">
            <a:lumMod val="15000"/>
            <a:lumOff val="85000"/>
          </a:schemeClr>
        </a:fgClr>
        <a:bgClr>
          <a:schemeClr val="lt1"/>
        </a:bgClr>
      </a:pattFill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08">
  <cs:axisTitle>
    <cs:lnRef idx="0"/>
    <cs:fillRef idx="0"/>
    <cs:effectRef idx="0"/>
    <cs:fontRef idx="minor">
      <a:schemeClr val="dk1">
        <a:lumMod val="65000"/>
        <a:lumOff val="3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 cap="none" spc="0" normalizeH="0" baseline="0"/>
  </cs:categoryAxis>
  <cs:chartArea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22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lt1"/>
      </a:solidFill>
      <a:ln w="1587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8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dk1">
            <a:lumMod val="50000"/>
            <a:lumOff val="50000"/>
          </a:schemeClr>
        </a:solidFill>
        <a:round/>
      </a:ln>
    </cs:spPr>
  </cs:downBar>
  <cs:drop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50000"/>
            <a:lumOff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  <cs:spPr>
      <a:pattFill prst="ltDnDiag">
        <a:fgClr>
          <a:schemeClr val="dk1">
            <a:lumMod val="15000"/>
            <a:lumOff val="85000"/>
          </a:schemeClr>
        </a:fgClr>
        <a:bgClr>
          <a:schemeClr val="lt1"/>
        </a:bgClr>
      </a:pattFill>
    </cs:spPr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dk1"/>
    </cs:fontRef>
    <cs:spPr>
      <a:pattFill prst="ltDnDiag">
        <a:fgClr>
          <a:schemeClr val="dk1">
            <a:lumMod val="15000"/>
            <a:lumOff val="85000"/>
          </a:schemeClr>
        </a:fgClr>
        <a:bgClr>
          <a:schemeClr val="lt1"/>
        </a:bgClr>
      </a:pattFill>
    </cs:spPr>
  </cs:plotArea>
  <cs:plotArea3D>
    <cs:lnRef idx="0"/>
    <cs:fillRef idx="0"/>
    <cs:effectRef idx="0"/>
    <cs:fontRef idx="minor">
      <a:schemeClr val="dk1"/>
    </cs:fontRef>
    <cs:spPr>
      <a:solidFill>
        <a:schemeClr val="lt1"/>
      </a:solidFill>
    </cs:spPr>
  </cs:plotArea3D>
  <cs:series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ajor">
      <a:schemeClr val="dk1">
        <a:lumMod val="50000"/>
        <a:lumOff val="50000"/>
      </a:schemeClr>
    </cs:fontRef>
    <cs:defRPr sz="1600" b="1" kern="1200" cap="none" spc="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dk1">
            <a:lumMod val="50000"/>
            <a:lumOff val="50000"/>
          </a:schemeClr>
        </a:solidFill>
        <a:round/>
      </a:ln>
    </cs:spPr>
  </cs:upBar>
  <cs:value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  <cs:spPr>
      <a:pattFill prst="ltDnDiag">
        <a:fgClr>
          <a:schemeClr val="dk1">
            <a:lumMod val="15000"/>
            <a:lumOff val="85000"/>
          </a:schemeClr>
        </a:fgClr>
        <a:bgClr>
          <a:schemeClr val="lt1"/>
        </a:bgClr>
      </a:pattFill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343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diagrams/_rels/data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4.png"/></Relationships>
</file>

<file path=xl/diagram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4.png"/></Relationships>
</file>

<file path=xl/diagrams/colors1.xml><?xml version="1.0" encoding="utf-8"?>
<dgm:colorsDef xmlns:dgm="http://schemas.openxmlformats.org/drawingml/2006/diagram" xmlns:a="http://schemas.openxmlformats.org/drawingml/2006/main" uniqueId="urn:microsoft.com/office/officeart/2005/8/colors/accent1_2">
  <dgm:title val=""/>
  <dgm:desc val=""/>
  <dgm:catLst>
    <dgm:cat type="accent1" pri="11200"/>
  </dgm:catLst>
  <dgm:styleLbl name="node0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lignNode1">
    <dgm:fillClrLst meth="repeat">
      <a:schemeClr val="accent1"/>
    </dgm:fillClrLst>
    <dgm:linClrLst meth="repeat">
      <a:schemeClr val="accent1"/>
    </dgm:linClrLst>
    <dgm:effectClrLst/>
    <dgm:txLinClrLst/>
    <dgm:txFillClrLst/>
    <dgm:txEffectClrLst/>
  </dgm:styleLbl>
  <dgm:styleLbl name="node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lnNode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vennNode1">
    <dgm:fillClrLst meth="repeat">
      <a:schemeClr val="accent1">
        <a:alpha val="50000"/>
      </a:schemeClr>
    </dgm:fillClrLst>
    <dgm:linClrLst meth="repeat">
      <a:schemeClr val="lt1"/>
    </dgm:linClrLst>
    <dgm:effectClrLst/>
    <dgm:txLinClrLst/>
    <dgm:txFillClrLst/>
    <dgm:txEffectClrLst/>
  </dgm:styleLbl>
  <dgm:styleLbl name="node2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node3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node4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fg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align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bg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fg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bg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sibTrans1D1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tx1"/>
    </dgm:txFillClrLst>
    <dgm:txEffectClrLst/>
  </dgm:styleLbl>
  <dgm:styleLbl name="callout">
    <dgm:fillClrLst meth="repeat">
      <a:schemeClr val="accent1"/>
    </dgm:fillClrLst>
    <dgm:linClrLst meth="repeat">
      <a:schemeClr val="accent1">
        <a:tint val="50000"/>
      </a:schemeClr>
    </dgm:linClrLst>
    <dgm:effectClrLst/>
    <dgm:txLinClrLst/>
    <dgm:txFillClrLst meth="repeat">
      <a:schemeClr val="tx1"/>
    </dgm:txFillClrLst>
    <dgm:txEffectClrLst/>
  </dgm:styleLbl>
  <dgm:styleLbl name="asst0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2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3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4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parCh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 meth="repeat">
      <a:schemeClr val="lt1"/>
    </dgm:txFillClrLst>
    <dgm:txEffectClrLst/>
  </dgm:styleLbl>
  <dgm:styleLbl name="parChTrans2D2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2D3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2D4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1D1">
    <dgm:fillClrLst meth="repeat">
      <a:schemeClr val="accent1"/>
    </dgm:fillClrLst>
    <dgm:linClrLst meth="repeat">
      <a:schemeClr val="accent1">
        <a:shade val="60000"/>
      </a:schemeClr>
    </dgm:linClrLst>
    <dgm:effectClrLst/>
    <dgm:txLinClrLst/>
    <dgm:txFillClrLst meth="repeat">
      <a:schemeClr val="tx1"/>
    </dgm:txFillClrLst>
    <dgm:txEffectClrLst/>
  </dgm:styleLbl>
  <dgm:styleLbl name="parChTrans1D2">
    <dgm:fillClrLst meth="repeat">
      <a:schemeClr val="accent1"/>
    </dgm:fillClrLst>
    <dgm:linClrLst meth="repeat">
      <a:schemeClr val="accent1">
        <a:shade val="60000"/>
      </a:schemeClr>
    </dgm:linClrLst>
    <dgm:effectClrLst/>
    <dgm:txLinClrLst/>
    <dgm:txFillClrLst meth="repeat">
      <a:schemeClr val="tx1"/>
    </dgm:txFillClrLst>
    <dgm:txEffectClrLst/>
  </dgm:styleLbl>
  <dgm:styleLbl name="parChTrans1D3">
    <dgm:fillClrLst meth="repeat">
      <a:schemeClr val="accent1"/>
    </dgm:fillClrLst>
    <dgm:linClrLst meth="repeat">
      <a:schemeClr val="accent1">
        <a:shade val="80000"/>
      </a:schemeClr>
    </dgm:linClrLst>
    <dgm:effectClrLst/>
    <dgm:txLinClrLst/>
    <dgm:txFillClrLst meth="repeat">
      <a:schemeClr val="tx1"/>
    </dgm:txFillClrLst>
    <dgm:txEffectClrLst/>
  </dgm:styleLbl>
  <dgm:styleLbl name="parChTrans1D4">
    <dgm:fillClrLst meth="repeat">
      <a:schemeClr val="accent1"/>
    </dgm:fillClrLst>
    <dgm:linClrLst meth="repeat">
      <a:schemeClr val="accent1">
        <a:shade val="80000"/>
      </a:schemeClr>
    </dgm:linClrLst>
    <dgm:effectClrLst/>
    <dgm:txLinClrLst/>
    <dgm:txFillClrLst meth="repeat">
      <a:schemeClr val="tx1"/>
    </dgm:txFillClrLst>
    <dgm:txEffectClrLst/>
  </dgm:styleLbl>
  <dgm:styleLbl name="f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conF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align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trAlignAcc1">
    <dgm:fillClrLst meth="repeat">
      <a:schemeClr val="lt1">
        <a:alpha val="4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b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Fg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Align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Bg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align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bg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fgAcc0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2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3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4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bgShp">
    <dgm:fillClrLst meth="repeat">
      <a:schemeClr val="accent1">
        <a:tint val="4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dkBgShp">
    <dgm:fillClrLst meth="repeat">
      <a:schemeClr val="accent1">
        <a:shade val="80000"/>
      </a:schemeClr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trBgShp">
    <dgm:fillClrLst meth="repeat">
      <a:schemeClr val="accent1">
        <a:tint val="50000"/>
        <a:alpha val="40000"/>
      </a:schemeClr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fgShp">
    <dgm:fillClrLst meth="repeat">
      <a:schemeClr val="accent1">
        <a:tint val="60000"/>
      </a:schemeClr>
    </dgm:fillClrLst>
    <dgm:linClrLst meth="repeat">
      <a:schemeClr val="lt1"/>
    </dgm:linClrLst>
    <dgm:effectClrLst/>
    <dgm:txLinClrLst/>
    <dgm:txFillClrLst meth="repeat">
      <a:schemeClr val="dk1"/>
    </dgm:txFillClrLst>
    <dgm:txEffectClrLst/>
  </dgm:styleLbl>
  <dgm:styleLbl name="revTx">
    <dgm:fillClrLst meth="repeat">
      <a:schemeClr val="lt1">
        <a:alpha val="0"/>
      </a:schemeClr>
    </dgm:fillClrLst>
    <dgm:linClrLst meth="repeat">
      <a:schemeClr val="dk1">
        <a:alpha val="0"/>
      </a:schemeClr>
    </dgm:linClrLst>
    <dgm:effectClrLst/>
    <dgm:txLinClrLst/>
    <dgm:txFillClrLst meth="repeat">
      <a:schemeClr val="tx1"/>
    </dgm:txFillClrLst>
    <dgm:txEffectClrLst/>
  </dgm:styleLbl>
</dgm:colorsDef>
</file>

<file path=xl/diagrams/data1.xml><?xml version="1.0" encoding="utf-8"?>
<dgm:dataModel xmlns:dgm="http://schemas.openxmlformats.org/drawingml/2006/diagram" xmlns:a="http://schemas.openxmlformats.org/drawingml/2006/main">
  <dgm:ptLst>
    <dgm:pt modelId="{7699C918-4261-4FA4-A537-C6F58985AAEB}" type="doc">
      <dgm:prSet loTypeId="urn:microsoft.com/office/officeart/2008/layout/CircularPictureCallout" loCatId="picture" qsTypeId="urn:microsoft.com/office/officeart/2005/8/quickstyle/simple1" qsCatId="simple" csTypeId="urn:microsoft.com/office/officeart/2005/8/colors/accent1_2" csCatId="accent1" phldr="1"/>
      <dgm:spPr/>
      <dgm:t>
        <a:bodyPr/>
        <a:lstStyle/>
        <a:p>
          <a:endParaRPr lang="pt-BR"/>
        </a:p>
      </dgm:t>
    </dgm:pt>
    <dgm:pt modelId="{19ED1106-331D-4ECC-9582-0E340AF4682F}">
      <dgm:prSet/>
      <dgm:spPr/>
      <dgm:t>
        <a:bodyPr/>
        <a:lstStyle/>
        <a:p>
          <a:endParaRPr lang="pt-BR"/>
        </a:p>
      </dgm:t>
    </dgm:pt>
    <dgm:pt modelId="{71D17BAE-3325-4AF0-80AC-526A7F7849C3}" type="parTrans" cxnId="{C99F14E3-EE3B-4A1D-9AB3-D810287153F2}">
      <dgm:prSet/>
      <dgm:spPr/>
      <dgm:t>
        <a:bodyPr/>
        <a:lstStyle/>
        <a:p>
          <a:endParaRPr lang="pt-BR"/>
        </a:p>
      </dgm:t>
    </dgm:pt>
    <dgm:pt modelId="{66E7623F-2153-4BEB-B535-9AB6DA3DBBB3}" type="sibTrans" cxnId="{C99F14E3-EE3B-4A1D-9AB3-D810287153F2}">
      <dgm:prSet/>
      <dgm:spPr>
        <a:blipFill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a:blipFill>
      </dgm:spPr>
      <dgm:t>
        <a:bodyPr/>
        <a:lstStyle/>
        <a:p>
          <a:endParaRPr lang="pt-BR"/>
        </a:p>
      </dgm:t>
    </dgm:pt>
    <dgm:pt modelId="{729C4984-2748-47C2-B870-E322F43EC808}">
      <dgm:prSet phldrT="[Texto]" phldr="1"/>
      <dgm:spPr/>
      <dgm:t>
        <a:bodyPr/>
        <a:lstStyle/>
        <a:p>
          <a:endParaRPr lang="pt-BR"/>
        </a:p>
      </dgm:t>
    </dgm:pt>
    <dgm:pt modelId="{23C0818C-32D8-45E6-A5FC-81294740E9FE}" type="parTrans" cxnId="{771EE581-4300-46D4-8C68-8B487E2A2F90}">
      <dgm:prSet/>
      <dgm:spPr/>
      <dgm:t>
        <a:bodyPr/>
        <a:lstStyle/>
        <a:p>
          <a:endParaRPr lang="pt-BR"/>
        </a:p>
      </dgm:t>
    </dgm:pt>
    <dgm:pt modelId="{26F637CB-A0F3-4DE8-A00E-60480C7CCAC5}" type="sibTrans" cxnId="{771EE581-4300-46D4-8C68-8B487E2A2F90}">
      <dgm:prSet/>
      <dgm:spPr/>
      <dgm:t>
        <a:bodyPr/>
        <a:lstStyle/>
        <a:p>
          <a:endParaRPr lang="pt-BR"/>
        </a:p>
      </dgm:t>
    </dgm:pt>
    <dgm:pt modelId="{E29A4729-8DAE-4416-92DE-C01225C67F1B}">
      <dgm:prSet phldrT="[Texto]" phldr="1"/>
      <dgm:spPr/>
      <dgm:t>
        <a:bodyPr/>
        <a:lstStyle/>
        <a:p>
          <a:endParaRPr lang="pt-BR"/>
        </a:p>
      </dgm:t>
    </dgm:pt>
    <dgm:pt modelId="{3587BC5E-203F-4CD2-BB6C-7A9C2203FA91}" type="parTrans" cxnId="{09BA8EFB-267D-4521-B00C-AA6A47D605A0}">
      <dgm:prSet/>
      <dgm:spPr/>
      <dgm:t>
        <a:bodyPr/>
        <a:lstStyle/>
        <a:p>
          <a:endParaRPr lang="pt-BR"/>
        </a:p>
      </dgm:t>
    </dgm:pt>
    <dgm:pt modelId="{CA969B67-0478-4074-8BD5-F3959DBF31E2}" type="sibTrans" cxnId="{09BA8EFB-267D-4521-B00C-AA6A47D605A0}">
      <dgm:prSet/>
      <dgm:spPr/>
      <dgm:t>
        <a:bodyPr/>
        <a:lstStyle/>
        <a:p>
          <a:endParaRPr lang="pt-BR"/>
        </a:p>
      </dgm:t>
    </dgm:pt>
    <dgm:pt modelId="{58631CD4-3B06-429E-AB07-9F2CA905A188}">
      <dgm:prSet phldrT="[Texto]" phldr="1"/>
      <dgm:spPr/>
      <dgm:t>
        <a:bodyPr/>
        <a:lstStyle/>
        <a:p>
          <a:endParaRPr lang="pt-BR"/>
        </a:p>
      </dgm:t>
    </dgm:pt>
    <dgm:pt modelId="{8FA83F48-7101-4BD3-8604-C7C0123EE38E}" type="parTrans" cxnId="{72E29E9D-D446-4505-BB35-CD37949FDA52}">
      <dgm:prSet/>
      <dgm:spPr/>
      <dgm:t>
        <a:bodyPr/>
        <a:lstStyle/>
        <a:p>
          <a:endParaRPr lang="pt-BR"/>
        </a:p>
      </dgm:t>
    </dgm:pt>
    <dgm:pt modelId="{8CEF74EB-2E11-435D-B010-BB1BB34B2163}" type="sibTrans" cxnId="{72E29E9D-D446-4505-BB35-CD37949FDA52}">
      <dgm:prSet/>
      <dgm:spPr/>
      <dgm:t>
        <a:bodyPr/>
        <a:lstStyle/>
        <a:p>
          <a:endParaRPr lang="pt-BR"/>
        </a:p>
      </dgm:t>
    </dgm:pt>
    <dgm:pt modelId="{A87CFBB5-18F4-4421-A602-FBBC1A5530AE}" type="pres">
      <dgm:prSet presAssocID="{7699C918-4261-4FA4-A537-C6F58985AAEB}" presName="Name0" presStyleCnt="0">
        <dgm:presLayoutVars>
          <dgm:chMax val="7"/>
          <dgm:chPref val="7"/>
          <dgm:dir/>
        </dgm:presLayoutVars>
      </dgm:prSet>
      <dgm:spPr/>
    </dgm:pt>
    <dgm:pt modelId="{BBF0B8F4-D944-47A8-9EB3-6C40CA336E75}" type="pres">
      <dgm:prSet presAssocID="{7699C918-4261-4FA4-A537-C6F58985AAEB}" presName="Name1" presStyleCnt="0"/>
      <dgm:spPr/>
    </dgm:pt>
    <dgm:pt modelId="{53F03547-077F-48BC-912E-61FC0A6839E0}" type="pres">
      <dgm:prSet presAssocID="{66E7623F-2153-4BEB-B535-9AB6DA3DBBB3}" presName="picture_1" presStyleCnt="0"/>
      <dgm:spPr/>
    </dgm:pt>
    <dgm:pt modelId="{0C98464E-73A4-404B-BE0C-7AE7665E1BA8}" type="pres">
      <dgm:prSet presAssocID="{66E7623F-2153-4BEB-B535-9AB6DA3DBBB3}" presName="pictureRepeatNode" presStyleLbl="alignImgPlace1" presStyleIdx="0" presStyleCnt="4"/>
      <dgm:spPr/>
    </dgm:pt>
    <dgm:pt modelId="{6CEBB7AA-2BBB-4870-A9FD-A91D4D099AD4}" type="pres">
      <dgm:prSet presAssocID="{19ED1106-331D-4ECC-9582-0E340AF4682F}" presName="text_1" presStyleLbl="node1" presStyleIdx="0" presStyleCnt="0">
        <dgm:presLayoutVars>
          <dgm:bulletEnabled val="1"/>
        </dgm:presLayoutVars>
      </dgm:prSet>
      <dgm:spPr/>
    </dgm:pt>
    <dgm:pt modelId="{C4FA22A5-4F32-4BDC-B309-DB386998EAEC}" type="pres">
      <dgm:prSet presAssocID="{26F637CB-A0F3-4DE8-A00E-60480C7CCAC5}" presName="picture_2" presStyleCnt="0"/>
      <dgm:spPr/>
    </dgm:pt>
    <dgm:pt modelId="{60DC80F9-B64B-4DA4-A22B-479E8559F9CD}" type="pres">
      <dgm:prSet presAssocID="{26F637CB-A0F3-4DE8-A00E-60480C7CCAC5}" presName="pictureRepeatNode" presStyleLbl="alignImgPlace1" presStyleIdx="1" presStyleCnt="4"/>
      <dgm:spPr/>
    </dgm:pt>
    <dgm:pt modelId="{9976AFC2-1656-4FBF-90D7-F42CEAC2FA50}" type="pres">
      <dgm:prSet presAssocID="{729C4984-2748-47C2-B870-E322F43EC808}" presName="line_2" presStyleLbl="parChTrans1D1" presStyleIdx="0" presStyleCnt="3"/>
      <dgm:spPr/>
    </dgm:pt>
    <dgm:pt modelId="{BAD91706-9918-493F-AF2F-147234F1193F}" type="pres">
      <dgm:prSet presAssocID="{729C4984-2748-47C2-B870-E322F43EC808}" presName="textparent_2" presStyleLbl="node1" presStyleIdx="0" presStyleCnt="0"/>
      <dgm:spPr/>
    </dgm:pt>
    <dgm:pt modelId="{F132CBB6-0477-48C1-B076-15409ED56212}" type="pres">
      <dgm:prSet presAssocID="{729C4984-2748-47C2-B870-E322F43EC808}" presName="text_2" presStyleLbl="revTx" presStyleIdx="0" presStyleCnt="3">
        <dgm:presLayoutVars>
          <dgm:bulletEnabled val="1"/>
        </dgm:presLayoutVars>
      </dgm:prSet>
      <dgm:spPr/>
    </dgm:pt>
    <dgm:pt modelId="{CF265F38-19B1-4F28-A805-5B65DF71A2A5}" type="pres">
      <dgm:prSet presAssocID="{CA969B67-0478-4074-8BD5-F3959DBF31E2}" presName="picture_3" presStyleCnt="0"/>
      <dgm:spPr/>
    </dgm:pt>
    <dgm:pt modelId="{034B5567-3AAA-46CC-8A7D-2E40576DEA55}" type="pres">
      <dgm:prSet presAssocID="{CA969B67-0478-4074-8BD5-F3959DBF31E2}" presName="pictureRepeatNode" presStyleLbl="alignImgPlace1" presStyleIdx="2" presStyleCnt="4"/>
      <dgm:spPr/>
    </dgm:pt>
    <dgm:pt modelId="{79582ED9-EC86-43A2-8DDE-B7B6EDE7E5DC}" type="pres">
      <dgm:prSet presAssocID="{E29A4729-8DAE-4416-92DE-C01225C67F1B}" presName="line_3" presStyleLbl="parChTrans1D1" presStyleIdx="1" presStyleCnt="3"/>
      <dgm:spPr/>
    </dgm:pt>
    <dgm:pt modelId="{26975ED6-4F03-4A6F-9884-1C85E3466479}" type="pres">
      <dgm:prSet presAssocID="{E29A4729-8DAE-4416-92DE-C01225C67F1B}" presName="textparent_3" presStyleLbl="node1" presStyleIdx="0" presStyleCnt="0"/>
      <dgm:spPr/>
    </dgm:pt>
    <dgm:pt modelId="{8D21688D-56F5-42E4-A9D4-D4BFA12EDA10}" type="pres">
      <dgm:prSet presAssocID="{E29A4729-8DAE-4416-92DE-C01225C67F1B}" presName="text_3" presStyleLbl="revTx" presStyleIdx="1" presStyleCnt="3">
        <dgm:presLayoutVars>
          <dgm:bulletEnabled val="1"/>
        </dgm:presLayoutVars>
      </dgm:prSet>
      <dgm:spPr/>
    </dgm:pt>
    <dgm:pt modelId="{C18799E8-D01F-4834-879E-B196B3821F3F}" type="pres">
      <dgm:prSet presAssocID="{8CEF74EB-2E11-435D-B010-BB1BB34B2163}" presName="picture_4" presStyleCnt="0"/>
      <dgm:spPr/>
    </dgm:pt>
    <dgm:pt modelId="{4D5180D4-EF8A-4C29-8BD4-B1B68CC3296B}" type="pres">
      <dgm:prSet presAssocID="{8CEF74EB-2E11-435D-B010-BB1BB34B2163}" presName="pictureRepeatNode" presStyleLbl="alignImgPlace1" presStyleIdx="3" presStyleCnt="4" custScaleX="129645" custScaleY="143056"/>
      <dgm:spPr/>
    </dgm:pt>
    <dgm:pt modelId="{F50C1236-A0CB-49A3-AB51-17391D2CB7CB}" type="pres">
      <dgm:prSet presAssocID="{58631CD4-3B06-429E-AB07-9F2CA905A188}" presName="line_4" presStyleLbl="parChTrans1D1" presStyleIdx="2" presStyleCnt="3"/>
      <dgm:spPr/>
    </dgm:pt>
    <dgm:pt modelId="{48EDBBC6-6328-4381-817D-21F3A3055A33}" type="pres">
      <dgm:prSet presAssocID="{58631CD4-3B06-429E-AB07-9F2CA905A188}" presName="textparent_4" presStyleLbl="node1" presStyleIdx="0" presStyleCnt="0"/>
      <dgm:spPr/>
    </dgm:pt>
    <dgm:pt modelId="{C2125B98-E053-45A7-A7E2-D42F0ACC9E25}" type="pres">
      <dgm:prSet presAssocID="{58631CD4-3B06-429E-AB07-9F2CA905A188}" presName="text_4" presStyleLbl="revTx" presStyleIdx="2" presStyleCnt="3">
        <dgm:presLayoutVars>
          <dgm:bulletEnabled val="1"/>
        </dgm:presLayoutVars>
      </dgm:prSet>
      <dgm:spPr/>
    </dgm:pt>
  </dgm:ptLst>
  <dgm:cxnLst>
    <dgm:cxn modelId="{55A16800-025B-4F56-8CBB-750476B3503A}" type="presOf" srcId="{CA969B67-0478-4074-8BD5-F3959DBF31E2}" destId="{034B5567-3AAA-46CC-8A7D-2E40576DEA55}" srcOrd="0" destOrd="0" presId="urn:microsoft.com/office/officeart/2008/layout/CircularPictureCallout"/>
    <dgm:cxn modelId="{E592D70D-BF7F-49B7-A797-D28A3E886026}" type="presOf" srcId="{66E7623F-2153-4BEB-B535-9AB6DA3DBBB3}" destId="{0C98464E-73A4-404B-BE0C-7AE7665E1BA8}" srcOrd="0" destOrd="0" presId="urn:microsoft.com/office/officeart/2008/layout/CircularPictureCallout"/>
    <dgm:cxn modelId="{D7B97A40-721B-477C-BE1A-EAF987EB2133}" type="presOf" srcId="{58631CD4-3B06-429E-AB07-9F2CA905A188}" destId="{C2125B98-E053-45A7-A7E2-D42F0ACC9E25}" srcOrd="0" destOrd="0" presId="urn:microsoft.com/office/officeart/2008/layout/CircularPictureCallout"/>
    <dgm:cxn modelId="{90ADC060-FD55-4FC2-A7E4-817E5129F2DB}" type="presOf" srcId="{729C4984-2748-47C2-B870-E322F43EC808}" destId="{F132CBB6-0477-48C1-B076-15409ED56212}" srcOrd="0" destOrd="0" presId="urn:microsoft.com/office/officeart/2008/layout/CircularPictureCallout"/>
    <dgm:cxn modelId="{380E037D-2D8C-4CD1-BE8C-6DE8470B447F}" type="presOf" srcId="{8CEF74EB-2E11-435D-B010-BB1BB34B2163}" destId="{4D5180D4-EF8A-4C29-8BD4-B1B68CC3296B}" srcOrd="0" destOrd="0" presId="urn:microsoft.com/office/officeart/2008/layout/CircularPictureCallout"/>
    <dgm:cxn modelId="{771EE581-4300-46D4-8C68-8B487E2A2F90}" srcId="{7699C918-4261-4FA4-A537-C6F58985AAEB}" destId="{729C4984-2748-47C2-B870-E322F43EC808}" srcOrd="1" destOrd="0" parTransId="{23C0818C-32D8-45E6-A5FC-81294740E9FE}" sibTransId="{26F637CB-A0F3-4DE8-A00E-60480C7CCAC5}"/>
    <dgm:cxn modelId="{AE3B4095-9534-4DBD-8279-4597D7155CFB}" type="presOf" srcId="{26F637CB-A0F3-4DE8-A00E-60480C7CCAC5}" destId="{60DC80F9-B64B-4DA4-A22B-479E8559F9CD}" srcOrd="0" destOrd="0" presId="urn:microsoft.com/office/officeart/2008/layout/CircularPictureCallout"/>
    <dgm:cxn modelId="{72E29E9D-D446-4505-BB35-CD37949FDA52}" srcId="{7699C918-4261-4FA4-A537-C6F58985AAEB}" destId="{58631CD4-3B06-429E-AB07-9F2CA905A188}" srcOrd="3" destOrd="0" parTransId="{8FA83F48-7101-4BD3-8604-C7C0123EE38E}" sibTransId="{8CEF74EB-2E11-435D-B010-BB1BB34B2163}"/>
    <dgm:cxn modelId="{321E70A8-317C-4012-A3D6-6BB4993D3791}" type="presOf" srcId="{19ED1106-331D-4ECC-9582-0E340AF4682F}" destId="{6CEBB7AA-2BBB-4870-A9FD-A91D4D099AD4}" srcOrd="0" destOrd="0" presId="urn:microsoft.com/office/officeart/2008/layout/CircularPictureCallout"/>
    <dgm:cxn modelId="{A30B31B1-2AF9-4736-BDC8-A647A8BBB4FC}" type="presOf" srcId="{7699C918-4261-4FA4-A537-C6F58985AAEB}" destId="{A87CFBB5-18F4-4421-A602-FBBC1A5530AE}" srcOrd="0" destOrd="0" presId="urn:microsoft.com/office/officeart/2008/layout/CircularPictureCallout"/>
    <dgm:cxn modelId="{C99F14E3-EE3B-4A1D-9AB3-D810287153F2}" srcId="{7699C918-4261-4FA4-A537-C6F58985AAEB}" destId="{19ED1106-331D-4ECC-9582-0E340AF4682F}" srcOrd="0" destOrd="0" parTransId="{71D17BAE-3325-4AF0-80AC-526A7F7849C3}" sibTransId="{66E7623F-2153-4BEB-B535-9AB6DA3DBBB3}"/>
    <dgm:cxn modelId="{F1E4B2F4-141F-480A-9EC5-6BB0C3A9A2AA}" type="presOf" srcId="{E29A4729-8DAE-4416-92DE-C01225C67F1B}" destId="{8D21688D-56F5-42E4-A9D4-D4BFA12EDA10}" srcOrd="0" destOrd="0" presId="urn:microsoft.com/office/officeart/2008/layout/CircularPictureCallout"/>
    <dgm:cxn modelId="{09BA8EFB-267D-4521-B00C-AA6A47D605A0}" srcId="{7699C918-4261-4FA4-A537-C6F58985AAEB}" destId="{E29A4729-8DAE-4416-92DE-C01225C67F1B}" srcOrd="2" destOrd="0" parTransId="{3587BC5E-203F-4CD2-BB6C-7A9C2203FA91}" sibTransId="{CA969B67-0478-4074-8BD5-F3959DBF31E2}"/>
    <dgm:cxn modelId="{7389347F-ACCE-4523-960D-3CEEF9052D49}" type="presParOf" srcId="{A87CFBB5-18F4-4421-A602-FBBC1A5530AE}" destId="{BBF0B8F4-D944-47A8-9EB3-6C40CA336E75}" srcOrd="0" destOrd="0" presId="urn:microsoft.com/office/officeart/2008/layout/CircularPictureCallout"/>
    <dgm:cxn modelId="{92569354-85A4-4774-AD3F-12CC48AE5B8D}" type="presParOf" srcId="{BBF0B8F4-D944-47A8-9EB3-6C40CA336E75}" destId="{53F03547-077F-48BC-912E-61FC0A6839E0}" srcOrd="0" destOrd="0" presId="urn:microsoft.com/office/officeart/2008/layout/CircularPictureCallout"/>
    <dgm:cxn modelId="{615604D4-83FB-43B2-8742-BC5A626DB7F9}" type="presParOf" srcId="{53F03547-077F-48BC-912E-61FC0A6839E0}" destId="{0C98464E-73A4-404B-BE0C-7AE7665E1BA8}" srcOrd="0" destOrd="0" presId="urn:microsoft.com/office/officeart/2008/layout/CircularPictureCallout"/>
    <dgm:cxn modelId="{E41361E0-1A48-449F-8C5D-F55AA93282C1}" type="presParOf" srcId="{BBF0B8F4-D944-47A8-9EB3-6C40CA336E75}" destId="{6CEBB7AA-2BBB-4870-A9FD-A91D4D099AD4}" srcOrd="1" destOrd="0" presId="urn:microsoft.com/office/officeart/2008/layout/CircularPictureCallout"/>
    <dgm:cxn modelId="{628813A4-328C-49AE-BD8F-2772C3B1B195}" type="presParOf" srcId="{BBF0B8F4-D944-47A8-9EB3-6C40CA336E75}" destId="{C4FA22A5-4F32-4BDC-B309-DB386998EAEC}" srcOrd="2" destOrd="0" presId="urn:microsoft.com/office/officeart/2008/layout/CircularPictureCallout"/>
    <dgm:cxn modelId="{E16350DC-40EB-4673-88E8-61CD7CC7E1BB}" type="presParOf" srcId="{C4FA22A5-4F32-4BDC-B309-DB386998EAEC}" destId="{60DC80F9-B64B-4DA4-A22B-479E8559F9CD}" srcOrd="0" destOrd="0" presId="urn:microsoft.com/office/officeart/2008/layout/CircularPictureCallout"/>
    <dgm:cxn modelId="{B5E70109-1BAC-4B32-A021-E1B66E3F87E4}" type="presParOf" srcId="{BBF0B8F4-D944-47A8-9EB3-6C40CA336E75}" destId="{9976AFC2-1656-4FBF-90D7-F42CEAC2FA50}" srcOrd="3" destOrd="0" presId="urn:microsoft.com/office/officeart/2008/layout/CircularPictureCallout"/>
    <dgm:cxn modelId="{EDE2F011-4AD3-4C62-A40A-EE41FF5F62F5}" type="presParOf" srcId="{BBF0B8F4-D944-47A8-9EB3-6C40CA336E75}" destId="{BAD91706-9918-493F-AF2F-147234F1193F}" srcOrd="4" destOrd="0" presId="urn:microsoft.com/office/officeart/2008/layout/CircularPictureCallout"/>
    <dgm:cxn modelId="{C324DE74-9F33-4CB9-9BB9-36176C054034}" type="presParOf" srcId="{BAD91706-9918-493F-AF2F-147234F1193F}" destId="{F132CBB6-0477-48C1-B076-15409ED56212}" srcOrd="0" destOrd="0" presId="urn:microsoft.com/office/officeart/2008/layout/CircularPictureCallout"/>
    <dgm:cxn modelId="{EDD7667A-C8D3-44F1-BC52-8BB9434340A9}" type="presParOf" srcId="{BBF0B8F4-D944-47A8-9EB3-6C40CA336E75}" destId="{CF265F38-19B1-4F28-A805-5B65DF71A2A5}" srcOrd="5" destOrd="0" presId="urn:microsoft.com/office/officeart/2008/layout/CircularPictureCallout"/>
    <dgm:cxn modelId="{51A540A2-DE4A-4E5E-9B12-5171BAC524FD}" type="presParOf" srcId="{CF265F38-19B1-4F28-A805-5B65DF71A2A5}" destId="{034B5567-3AAA-46CC-8A7D-2E40576DEA55}" srcOrd="0" destOrd="0" presId="urn:microsoft.com/office/officeart/2008/layout/CircularPictureCallout"/>
    <dgm:cxn modelId="{B6E8384E-1BCE-4903-9393-C0D74D651E0A}" type="presParOf" srcId="{BBF0B8F4-D944-47A8-9EB3-6C40CA336E75}" destId="{79582ED9-EC86-43A2-8DDE-B7B6EDE7E5DC}" srcOrd="6" destOrd="0" presId="urn:microsoft.com/office/officeart/2008/layout/CircularPictureCallout"/>
    <dgm:cxn modelId="{D726F8C0-95EF-439E-A220-7CA388A3A926}" type="presParOf" srcId="{BBF0B8F4-D944-47A8-9EB3-6C40CA336E75}" destId="{26975ED6-4F03-4A6F-9884-1C85E3466479}" srcOrd="7" destOrd="0" presId="urn:microsoft.com/office/officeart/2008/layout/CircularPictureCallout"/>
    <dgm:cxn modelId="{D4B1BAC6-12F1-432C-902C-75DADBDC10E8}" type="presParOf" srcId="{26975ED6-4F03-4A6F-9884-1C85E3466479}" destId="{8D21688D-56F5-42E4-A9D4-D4BFA12EDA10}" srcOrd="0" destOrd="0" presId="urn:microsoft.com/office/officeart/2008/layout/CircularPictureCallout"/>
    <dgm:cxn modelId="{4CFA386B-3830-45A3-8E9B-54641222E6B2}" type="presParOf" srcId="{BBF0B8F4-D944-47A8-9EB3-6C40CA336E75}" destId="{C18799E8-D01F-4834-879E-B196B3821F3F}" srcOrd="8" destOrd="0" presId="urn:microsoft.com/office/officeart/2008/layout/CircularPictureCallout"/>
    <dgm:cxn modelId="{4EF9E726-DD52-49C5-B166-E90DBCAFDC03}" type="presParOf" srcId="{C18799E8-D01F-4834-879E-B196B3821F3F}" destId="{4D5180D4-EF8A-4C29-8BD4-B1B68CC3296B}" srcOrd="0" destOrd="0" presId="urn:microsoft.com/office/officeart/2008/layout/CircularPictureCallout"/>
    <dgm:cxn modelId="{A1FE4A18-E125-4F6B-97F9-2F133DCE999D}" type="presParOf" srcId="{BBF0B8F4-D944-47A8-9EB3-6C40CA336E75}" destId="{F50C1236-A0CB-49A3-AB51-17391D2CB7CB}" srcOrd="9" destOrd="0" presId="urn:microsoft.com/office/officeart/2008/layout/CircularPictureCallout"/>
    <dgm:cxn modelId="{EDAE9E36-CE43-4840-B3BF-9B6370A4E418}" type="presParOf" srcId="{BBF0B8F4-D944-47A8-9EB3-6C40CA336E75}" destId="{48EDBBC6-6328-4381-817D-21F3A3055A33}" srcOrd="10" destOrd="0" presId="urn:microsoft.com/office/officeart/2008/layout/CircularPictureCallout"/>
    <dgm:cxn modelId="{42B4F80A-F797-428C-8A90-E8C32A5FF5B5}" type="presParOf" srcId="{48EDBBC6-6328-4381-817D-21F3A3055A33}" destId="{C2125B98-E053-45A7-A7E2-D42F0ACC9E25}" srcOrd="0" destOrd="0" presId="urn:microsoft.com/office/officeart/2008/layout/CircularPictureCallout"/>
  </dgm:cxnLst>
  <dgm:bg/>
  <dgm:whole/>
  <dgm:extLst>
    <a:ext uri="http://schemas.microsoft.com/office/drawing/2008/diagram">
      <dsp:dataModelExt xmlns:dsp="http://schemas.microsoft.com/office/drawing/2008/diagram" relId="rId20" minVer="http://schemas.openxmlformats.org/drawingml/2006/diagram"/>
    </a:ext>
  </dgm:extLst>
</dgm:dataModel>
</file>

<file path=xl/diagrams/drawing1.xml><?xml version="1.0" encoding="utf-8"?>
<dsp:drawing xmlns:dgm="http://schemas.openxmlformats.org/drawingml/2006/diagram" xmlns:dsp="http://schemas.microsoft.com/office/drawing/2008/diagram" xmlns:a="http://schemas.openxmlformats.org/drawingml/2006/main">
  <dsp:spTree>
    <dsp:nvGrpSpPr>
      <dsp:cNvPr id="0" name=""/>
      <dsp:cNvGrpSpPr/>
    </dsp:nvGrpSpPr>
    <dsp:grpSpPr/>
    <dsp:sp modelId="{F50C1236-A0CB-49A3-AB51-17391D2CB7CB}">
      <dsp:nvSpPr>
        <dsp:cNvPr id="0" name=""/>
        <dsp:cNvSpPr/>
      </dsp:nvSpPr>
      <dsp:spPr>
        <a:xfrm>
          <a:off x="1487651" y="2097880"/>
          <a:ext cx="2295144" cy="0"/>
        </a:xfrm>
        <a:prstGeom prst="line">
          <a:avLst/>
        </a:prstGeom>
        <a:noFill/>
        <a:ln w="10795" cap="flat" cmpd="sng" algn="ctr">
          <a:solidFill>
            <a:schemeClr val="accent1">
              <a:shade val="60000"/>
              <a:hueOff val="0"/>
              <a:satOff val="0"/>
              <a:lumOff val="0"/>
              <a:alphaOff val="0"/>
            </a:schemeClr>
          </a:solidFill>
          <a:prstDash val="solid"/>
        </a:ln>
        <a:effectLst/>
      </dsp:spPr>
      <dsp:style>
        <a:lnRef idx="2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</dsp:sp>
    <dsp:sp modelId="{79582ED9-EC86-43A2-8DDE-B7B6EDE7E5DC}">
      <dsp:nvSpPr>
        <dsp:cNvPr id="0" name=""/>
        <dsp:cNvSpPr/>
      </dsp:nvSpPr>
      <dsp:spPr>
        <a:xfrm>
          <a:off x="1487651" y="1297780"/>
          <a:ext cx="1965960" cy="0"/>
        </a:xfrm>
        <a:prstGeom prst="line">
          <a:avLst/>
        </a:prstGeom>
        <a:noFill/>
        <a:ln w="10795" cap="flat" cmpd="sng" algn="ctr">
          <a:solidFill>
            <a:schemeClr val="accent1">
              <a:shade val="60000"/>
              <a:hueOff val="0"/>
              <a:satOff val="0"/>
              <a:lumOff val="0"/>
              <a:alphaOff val="0"/>
            </a:schemeClr>
          </a:solidFill>
          <a:prstDash val="solid"/>
        </a:ln>
        <a:effectLst/>
      </dsp:spPr>
      <dsp:style>
        <a:lnRef idx="2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</dsp:sp>
    <dsp:sp modelId="{9976AFC2-1656-4FBF-90D7-F42CEAC2FA50}">
      <dsp:nvSpPr>
        <dsp:cNvPr id="0" name=""/>
        <dsp:cNvSpPr/>
      </dsp:nvSpPr>
      <dsp:spPr>
        <a:xfrm>
          <a:off x="1487651" y="497680"/>
          <a:ext cx="2295144" cy="0"/>
        </a:xfrm>
        <a:prstGeom prst="line">
          <a:avLst/>
        </a:prstGeom>
        <a:noFill/>
        <a:ln w="10795" cap="flat" cmpd="sng" algn="ctr">
          <a:solidFill>
            <a:schemeClr val="accent1">
              <a:shade val="60000"/>
              <a:hueOff val="0"/>
              <a:satOff val="0"/>
              <a:lumOff val="0"/>
              <a:alphaOff val="0"/>
            </a:schemeClr>
          </a:solidFill>
          <a:prstDash val="solid"/>
        </a:ln>
        <a:effectLst/>
      </dsp:spPr>
      <dsp:style>
        <a:lnRef idx="2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</dsp:sp>
    <dsp:sp modelId="{0C98464E-73A4-404B-BE0C-7AE7665E1BA8}">
      <dsp:nvSpPr>
        <dsp:cNvPr id="0" name=""/>
        <dsp:cNvSpPr/>
      </dsp:nvSpPr>
      <dsp:spPr>
        <a:xfrm>
          <a:off x="344651" y="154780"/>
          <a:ext cx="2286000" cy="2286000"/>
        </a:xfrm>
        <a:prstGeom prst="ellipse">
          <a:avLst/>
        </a:prstGeom>
        <a:blipFill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a:blipFill>
        <a:ln w="10795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/>
      </dsp:style>
    </dsp:sp>
    <dsp:sp modelId="{6CEBB7AA-2BBB-4870-A9FD-A91D4D099AD4}">
      <dsp:nvSpPr>
        <dsp:cNvPr id="0" name=""/>
        <dsp:cNvSpPr/>
      </dsp:nvSpPr>
      <dsp:spPr>
        <a:xfrm>
          <a:off x="756131" y="1368646"/>
          <a:ext cx="1463040" cy="754380"/>
        </a:xfrm>
        <a:prstGeom prst="rect">
          <a:avLst/>
        </a:prstGeom>
        <a:noFill/>
        <a:ln w="10795" cap="flat" cmpd="sng" algn="ctr">
          <a:noFill/>
          <a:prstDash val="solid"/>
        </a:ln>
        <a:effectLst/>
        <a:sp3d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  <dsp:txBody>
        <a:bodyPr spcFirstLastPara="0" vert="horz" wrap="square" lIns="0" tIns="0" rIns="0" bIns="0" numCol="1" spcCol="1270" anchor="b" anchorCtr="0">
          <a:noAutofit/>
        </a:bodyPr>
        <a:lstStyle/>
        <a:p>
          <a:pPr marL="0" lvl="0" indent="0" algn="ctr" defTabSz="240030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endParaRPr lang="pt-BR" sz="5400" kern="1200"/>
        </a:p>
      </dsp:txBody>
      <dsp:txXfrm>
        <a:off x="756131" y="1368646"/>
        <a:ext cx="1463040" cy="754380"/>
      </dsp:txXfrm>
    </dsp:sp>
    <dsp:sp modelId="{60DC80F9-B64B-4DA4-A22B-479E8559F9CD}">
      <dsp:nvSpPr>
        <dsp:cNvPr id="0" name=""/>
        <dsp:cNvSpPr/>
      </dsp:nvSpPr>
      <dsp:spPr>
        <a:xfrm>
          <a:off x="3439895" y="154780"/>
          <a:ext cx="685800" cy="685800"/>
        </a:xfrm>
        <a:prstGeom prst="ellipse">
          <a:avLst/>
        </a:prstGeom>
        <a:solidFill>
          <a:schemeClr val="accent1">
            <a:tint val="50000"/>
            <a:hueOff val="0"/>
            <a:satOff val="0"/>
            <a:lumOff val="0"/>
            <a:alphaOff val="0"/>
          </a:schemeClr>
        </a:solidFill>
        <a:ln w="10795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/>
      </dsp:style>
    </dsp:sp>
    <dsp:sp modelId="{F132CBB6-0477-48C1-B076-15409ED56212}">
      <dsp:nvSpPr>
        <dsp:cNvPr id="0" name=""/>
        <dsp:cNvSpPr/>
      </dsp:nvSpPr>
      <dsp:spPr>
        <a:xfrm>
          <a:off x="4125695" y="154780"/>
          <a:ext cx="79095" cy="685800"/>
        </a:xfrm>
        <a:prstGeom prst="rect">
          <a:avLst/>
        </a:prstGeom>
        <a:noFill/>
        <a:ln>
          <a:noFill/>
        </a:ln>
        <a:effectLst/>
      </dsp:spPr>
      <dsp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  <dsp:txBody>
        <a:bodyPr spcFirstLastPara="0" vert="horz" wrap="square" lIns="19050" tIns="0" rIns="19050" bIns="0" numCol="1" spcCol="1270" anchor="ctr" anchorCtr="0">
          <a:noAutofit/>
        </a:bodyPr>
        <a:lstStyle/>
        <a:p>
          <a:pPr marL="0" lvl="0" indent="0" algn="l" defTabSz="2222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endParaRPr lang="pt-BR" sz="500" kern="1200"/>
        </a:p>
      </dsp:txBody>
      <dsp:txXfrm>
        <a:off x="4125695" y="154780"/>
        <a:ext cx="79095" cy="685800"/>
      </dsp:txXfrm>
    </dsp:sp>
    <dsp:sp modelId="{034B5567-3AAA-46CC-8A7D-2E40576DEA55}">
      <dsp:nvSpPr>
        <dsp:cNvPr id="0" name=""/>
        <dsp:cNvSpPr/>
      </dsp:nvSpPr>
      <dsp:spPr>
        <a:xfrm>
          <a:off x="3110711" y="954880"/>
          <a:ext cx="685800" cy="685800"/>
        </a:xfrm>
        <a:prstGeom prst="ellipse">
          <a:avLst/>
        </a:prstGeom>
        <a:solidFill>
          <a:schemeClr val="accent1">
            <a:tint val="50000"/>
            <a:hueOff val="0"/>
            <a:satOff val="0"/>
            <a:lumOff val="0"/>
            <a:alphaOff val="0"/>
          </a:schemeClr>
        </a:solidFill>
        <a:ln w="10795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/>
      </dsp:style>
    </dsp:sp>
    <dsp:sp modelId="{8D21688D-56F5-42E4-A9D4-D4BFA12EDA10}">
      <dsp:nvSpPr>
        <dsp:cNvPr id="0" name=""/>
        <dsp:cNvSpPr/>
      </dsp:nvSpPr>
      <dsp:spPr>
        <a:xfrm>
          <a:off x="3796511" y="954880"/>
          <a:ext cx="112014" cy="685800"/>
        </a:xfrm>
        <a:prstGeom prst="rect">
          <a:avLst/>
        </a:prstGeom>
        <a:noFill/>
        <a:ln>
          <a:noFill/>
        </a:ln>
        <a:effectLst/>
      </dsp:spPr>
      <dsp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  <dsp:txBody>
        <a:bodyPr spcFirstLastPara="0" vert="horz" wrap="square" lIns="19050" tIns="0" rIns="19050" bIns="0" numCol="1" spcCol="1270" anchor="ctr" anchorCtr="0">
          <a:noAutofit/>
        </a:bodyPr>
        <a:lstStyle/>
        <a:p>
          <a:pPr marL="0" lvl="0" indent="0" algn="l" defTabSz="2222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endParaRPr lang="pt-BR" sz="500" kern="1200"/>
        </a:p>
      </dsp:txBody>
      <dsp:txXfrm>
        <a:off x="3796511" y="954880"/>
        <a:ext cx="112014" cy="685800"/>
      </dsp:txXfrm>
    </dsp:sp>
    <dsp:sp modelId="{4D5180D4-EF8A-4C29-8BD4-B1B68CC3296B}">
      <dsp:nvSpPr>
        <dsp:cNvPr id="0" name=""/>
        <dsp:cNvSpPr/>
      </dsp:nvSpPr>
      <dsp:spPr>
        <a:xfrm>
          <a:off x="3338242" y="1607341"/>
          <a:ext cx="889105" cy="981078"/>
        </a:xfrm>
        <a:prstGeom prst="ellipse">
          <a:avLst/>
        </a:prstGeom>
        <a:solidFill>
          <a:schemeClr val="accent1">
            <a:tint val="50000"/>
            <a:hueOff val="0"/>
            <a:satOff val="0"/>
            <a:lumOff val="0"/>
            <a:alphaOff val="0"/>
          </a:schemeClr>
        </a:solidFill>
        <a:ln w="10795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/>
      </dsp:style>
    </dsp:sp>
    <dsp:sp modelId="{C2125B98-E053-45A7-A7E2-D42F0ACC9E25}">
      <dsp:nvSpPr>
        <dsp:cNvPr id="0" name=""/>
        <dsp:cNvSpPr/>
      </dsp:nvSpPr>
      <dsp:spPr>
        <a:xfrm>
          <a:off x="4125695" y="1754980"/>
          <a:ext cx="79095" cy="685800"/>
        </a:xfrm>
        <a:prstGeom prst="rect">
          <a:avLst/>
        </a:prstGeom>
        <a:noFill/>
        <a:ln>
          <a:noFill/>
        </a:ln>
        <a:effectLst/>
      </dsp:spPr>
      <dsp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  <dsp:txBody>
        <a:bodyPr spcFirstLastPara="0" vert="horz" wrap="square" lIns="19050" tIns="0" rIns="19050" bIns="0" numCol="1" spcCol="1270" anchor="ctr" anchorCtr="0">
          <a:noAutofit/>
        </a:bodyPr>
        <a:lstStyle/>
        <a:p>
          <a:pPr marL="0" lvl="0" indent="0" algn="l" defTabSz="2222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endParaRPr lang="pt-BR" sz="500" kern="1200"/>
        </a:p>
      </dsp:txBody>
      <dsp:txXfrm>
        <a:off x="4125695" y="1754980"/>
        <a:ext cx="79095" cy="685800"/>
      </dsp:txXfrm>
    </dsp:sp>
  </dsp:spTree>
</dsp:drawing>
</file>

<file path=xl/diagrams/layout1.xml><?xml version="1.0" encoding="utf-8"?>
<dgm:layoutDef xmlns:dgm="http://schemas.openxmlformats.org/drawingml/2006/diagram" xmlns:a="http://schemas.openxmlformats.org/drawingml/2006/main" uniqueId="urn:microsoft.com/office/officeart/2008/layout/CircularPictureCallout">
  <dgm:title val=""/>
  <dgm:desc val=""/>
  <dgm:catLst>
    <dgm:cat type="picture" pri="2000"/>
    <dgm:cat type="pictureconvert" pri="2000"/>
  </dgm:catLst>
  <dgm:sampData>
    <dgm:dataModel>
      <dgm:ptLst>
        <dgm:pt modelId="0" type="doc"/>
        <dgm:pt modelId="1"/>
        <dgm:pt modelId="2">
          <dgm:prSet phldr="1"/>
        </dgm:pt>
        <dgm:pt modelId="3">
          <dgm:prSet phldr="1"/>
        </dgm:pt>
        <dgm:pt modelId="4">
          <dgm:prSet phldr="1"/>
        </dgm:pt>
      </dgm:ptLst>
      <dgm:cxnLst>
        <dgm:cxn modelId="5" srcId="0" destId="1" srcOrd="0" destOrd="0"/>
        <dgm:cxn modelId="6" srcId="0" destId="2" srcOrd="1" destOrd="0"/>
        <dgm:cxn modelId="7" srcId="0" destId="3" srcOrd="2" destOrd="0"/>
        <dgm:cxn modelId="8" srcId="0" destId="4" srcOrd="3" destOrd="0"/>
      </dgm:cxnLst>
      <dgm:bg/>
      <dgm:whole/>
    </dgm:dataModel>
  </dgm:sampData>
  <dgm:styleData>
    <dgm:dataModel>
      <dgm:ptLst>
        <dgm:pt modelId="0" type="doc"/>
        <dgm:pt modelId="1">
          <dgm:prSet phldr="1"/>
        </dgm:pt>
        <dgm:pt modelId="2">
          <dgm:prSet phldr="1"/>
        </dgm:pt>
        <dgm:pt modelId="3">
          <dgm:prSet phldr="1"/>
        </dgm:pt>
        <dgm:pt modelId="4">
          <dgm:prSet phldr="1"/>
        </dgm:pt>
      </dgm:ptLst>
      <dgm:cxnLst>
        <dgm:cxn modelId="5" srcId="0" destId="1" srcOrd="0" destOrd="0"/>
        <dgm:cxn modelId="6" srcId="0" destId="2" srcOrd="1" destOrd="0"/>
        <dgm:cxn modelId="7" srcId="0" destId="3" srcOrd="2" destOrd="0"/>
        <dgm:cxn modelId="8" srcId="0" destId="4" srcOrd="3" destOrd="0"/>
      </dgm:cxnLst>
      <dgm:bg/>
      <dgm:whole/>
    </dgm:dataModel>
  </dgm:styleData>
  <dgm:clrData>
    <dgm:dataModel>
      <dgm:ptLst>
        <dgm:pt modelId="0" type="doc"/>
        <dgm:pt modelId="1">
          <dgm:prSet phldr="1"/>
        </dgm:pt>
        <dgm:pt modelId="2">
          <dgm:prSet phldr="1"/>
        </dgm:pt>
        <dgm:pt modelId="3">
          <dgm:prSet phldr="1"/>
        </dgm:pt>
        <dgm:pt modelId="4">
          <dgm:prSet phldr="1"/>
        </dgm:pt>
      </dgm:ptLst>
      <dgm:cxnLst>
        <dgm:cxn modelId="5" srcId="0" destId="1" srcOrd="0" destOrd="0"/>
        <dgm:cxn modelId="6" srcId="0" destId="2" srcOrd="1" destOrd="0"/>
        <dgm:cxn modelId="7" srcId="0" destId="3" srcOrd="2" destOrd="0"/>
        <dgm:cxn modelId="8" srcId="0" destId="4" srcOrd="3" destOrd="0"/>
      </dgm:cxnLst>
      <dgm:bg/>
      <dgm:whole/>
    </dgm:dataModel>
  </dgm:clrData>
  <dgm:layoutNode name="Name0">
    <dgm:varLst>
      <dgm:chMax val="7"/>
      <dgm:chPref val="7"/>
      <dgm:dir/>
    </dgm:varLst>
    <dgm:alg type="composite"/>
    <dgm:shape xmlns:r="http://schemas.openxmlformats.org/officeDocument/2006/relationships" r:blip="">
      <dgm:adjLst/>
    </dgm:shape>
    <dgm:constrLst>
      <dgm:constr type="w" for="ch" refType="h" refFor="ch" op="gte" fact="2"/>
    </dgm:constrLst>
    <dgm:layoutNode name="Name1">
      <dgm:alg type="composite"/>
      <dgm:shape xmlns:r="http://schemas.openxmlformats.org/officeDocument/2006/relationships" r:blip="">
        <dgm:adjLst/>
      </dgm:shape>
      <dgm:choose name="Name2">
        <dgm:if name="Name3" axis="ch" ptType="node" func="cnt" op="lte" val="1">
          <dgm:constrLst>
            <dgm:constr type="h" for="ch" forName="picture_1" refType="h"/>
            <dgm:constr type="w" for="ch" forName="picture_1" refType="h" refFor="ch" refForName="picture_1" op="equ"/>
            <dgm:constr type="l" for="ch" forName="picture_1"/>
            <dgm:constr type="t" for="ch" forName="picture_1"/>
            <dgm:constr type="w" for="ch" forName="text_1" refType="w" refFor="ch" refForName="picture_1" fact="0.64"/>
            <dgm:constr type="h" for="ch" forName="text_1" refType="h" refFor="ch" refForName="picture_1" fact="0.33"/>
            <dgm:constr type="l" for="ch" forName="text_1" refType="w" refFor="ch" refForName="picture_1" fact="0.18"/>
            <dgm:constr type="t" for="ch" forName="text_1" refType="h" refFor="ch" refForName="picture_1" fact="0.531"/>
          </dgm:constrLst>
        </dgm:if>
        <dgm:if name="Name4" axis="ch" ptType="node" func="cnt" op="lte" val="2">
          <dgm:choose name="Name5">
            <dgm:if name="Name6" func="var" arg="dir" op="equ" val="norm">
              <dgm:constrLst>
                <dgm:constr type="h" for="ch" forName="picture_1" refType="h"/>
                <dgm:constr type="w" for="ch" forName="picture_1" refType="h" refFor="ch" refForName="picture_1" op="equ"/>
                <dgm:constr type="l" for="ch" forName="picture_1"/>
                <dgm:constr type="t" for="ch" forName="picture_1"/>
                <dgm:constr type="w" for="ch" forName="text_1" refType="w" refFor="ch" refForName="picture_1" fact="0.64"/>
                <dgm:constr type="h" for="ch" forName="text_1" refType="h" refFor="ch" refForName="picture_1" fact="0.33"/>
                <dgm:constr type="l" for="ch" forName="text_1" refType="l" refFor="ch" refForName="picture_1"/>
                <dgm:constr type="lOff" for="ch" forName="text_1" refType="w" refFor="ch" refForName="picture_1" fact="0.18"/>
                <dgm:constr type="t" for="ch" forName="text_1" refType="h" refFor="ch" refForName="picture_1" fact="0.531"/>
                <dgm:constr type="w" for="ch" forName="picture_2" refType="w" refFor="ch" refForName="picture_1" fact="0.5"/>
                <dgm:constr type="h" for="ch" forName="picture_2" refType="h" refFor="ch" refForName="picture_1" fact="0.5"/>
                <dgm:constr type="l" for="ch" forName="picture_2" refType="w" refFor="ch" refForName="picture_1" fact="1.21"/>
                <dgm:constr type="ctrY" for="ch" forName="picture_2" refType="h" refFor="ch" refForName="picture_1" fact="0.5"/>
                <dgm:constr type="l" for="ch" forName="line_2" refType="ctrX" refFor="ch" refForName="picture_1"/>
                <dgm:constr type="h" for="ch" forName="line_2"/>
                <dgm:constr type="r" for="ch" forName="line_2" refType="ctrX" refFor="ch" refForName="picture_2"/>
                <dgm:constr type="ctrY" for="ch" forName="line_2" refType="ctrY" refFor="ch" refForName="picture_2"/>
                <dgm:constr type="r" for="ch" forName="textparent_2" refType="w"/>
                <dgm:constr type="h" for="ch" forName="textparent_2" refType="h" refFor="ch" refForName="picture_2"/>
                <dgm:constr type="l" for="ch" forName="textparent_2" refType="r" refFor="ch" refForName="picture_2"/>
                <dgm:constr type="ctrY" for="ch" forName="textparent_2" refType="ctrY" refFor="ch" refForName="picture_2"/>
                <dgm:constr type="primFontSz" for="des" forName="text_2" val="65"/>
              </dgm:constrLst>
            </dgm:if>
            <dgm:else name="Name7">
              <dgm:constrLst>
                <dgm:constr type="h" for="ch" forName="picture_1" refType="h"/>
                <dgm:constr type="w" for="ch" forName="picture_1" refType="h" refFor="ch" refForName="picture_1" op="equ"/>
                <dgm:constr type="r" for="ch" forName="picture_1" refType="w"/>
                <dgm:constr type="t" for="ch" forName="picture_1"/>
                <dgm:constr type="w" for="ch" forName="text_1" refType="w" refFor="ch" refForName="picture_1" fact="0.64"/>
                <dgm:constr type="h" for="ch" forName="text_1" refType="h" refFor="ch" refForName="picture_1" fact="0.33"/>
                <dgm:constr type="l" for="ch" forName="text_1" refType="l" refFor="ch" refForName="picture_1"/>
                <dgm:constr type="lOff" for="ch" forName="text_1" refType="w" refFor="ch" refForName="picture_1" fact="0.18"/>
                <dgm:constr type="t" for="ch" forName="text_1" refType="h" refFor="ch" refForName="picture_1" fact="0.531"/>
                <dgm:constr type="w" for="ch" forName="picture_2" refType="w" refFor="ch" refForName="picture_1" fact="0.5"/>
                <dgm:constr type="h" for="ch" forName="picture_2" refType="h" refFor="ch" refForName="picture_1" fact="0.5"/>
                <dgm:constr type="r" for="ch" forName="picture_2" refType="w"/>
                <dgm:constr type="rOff" for="ch" forName="picture_2" refType="w" refFor="ch" refForName="picture_1" fact="-1.21"/>
                <dgm:constr type="ctrY" for="ch" forName="picture_2" refType="h" refFor="ch" refForName="picture_1" fact="0.5"/>
                <dgm:constr type="r" for="ch" forName="line_2" refType="ctrX" refFor="ch" refForName="picture_1"/>
                <dgm:constr type="h" for="ch" forName="line_2"/>
                <dgm:constr type="l" for="ch" forName="line_2" refType="ctrX" refFor="ch" refForName="picture_2"/>
                <dgm:constr type="ctrY" for="ch" forName="line_2" refType="ctrY" refFor="ch" refForName="picture_2"/>
                <dgm:constr type="l" for="ch" forName="textparent_2"/>
                <dgm:constr type="h" for="ch" forName="textparent_2" refType="h" refFor="ch" refForName="picture_2"/>
                <dgm:constr type="r" for="ch" forName="textparent_2" refType="l" refFor="ch" refForName="picture_2"/>
                <dgm:constr type="ctrY" for="ch" forName="textparent_2" refType="ctrY" refFor="ch" refForName="picture_2"/>
                <dgm:constr type="primFontSz" for="des" forName="text_2" val="65"/>
              </dgm:constrLst>
            </dgm:else>
          </dgm:choose>
        </dgm:if>
        <dgm:if name="Name8" axis="ch" ptType="node" func="cnt" op="lte" val="3">
          <dgm:choose name="Name9">
            <dgm:if name="Name10" func="var" arg="dir" op="equ" val="norm">
              <dgm:constrLst>
                <dgm:constr type="h" for="ch" forName="picture_1" refType="h"/>
                <dgm:constr type="w" for="ch" forName="picture_1" refType="h" refFor="ch" refForName="picture_1" op="equ"/>
                <dgm:constr type="l" for="ch" forName="picture_1"/>
                <dgm:constr type="t" for="ch" forName="picture_1"/>
                <dgm:constr type="w" for="ch" forName="text_1" refType="w" refFor="ch" refForName="picture_1" fact="0.64"/>
                <dgm:constr type="h" for="ch" forName="text_1" refType="h" refFor="ch" refForName="picture_1" fact="0.33"/>
                <dgm:constr type="l" for="ch" forName="text_1" refType="l" refFor="ch" refForName="picture_1"/>
                <dgm:constr type="lOff" for="ch" forName="text_1" refType="w" refFor="ch" refForName="picture_1" fact="0.18"/>
                <dgm:constr type="t" for="ch" forName="text_1" refType="h" refFor="ch" refForName="picture_1" fact="0.531"/>
                <dgm:constr type="w" for="ch" forName="picture_2" refType="w" refFor="ch" refForName="picture_1" fact="0.375"/>
                <dgm:constr type="h" for="ch" forName="picture_2" refType="h" refFor="ch" refForName="picture_1" fact="0.375"/>
                <dgm:constr type="l" for="ch" forName="picture_2" refType="w" refFor="ch" refForName="picture_1" fact="1.21"/>
                <dgm:constr type="ctrY" for="ch" forName="picture_2" refType="h" refFor="ch" refForName="picture_1" fact="0.1875"/>
                <dgm:constr type="l" for="ch" forName="line_2" refType="ctrX" refFor="ch" refForName="picture_1"/>
                <dgm:constr type="h" for="ch" forName="line_2"/>
                <dgm:constr type="r" for="ch" forName="line_2" refType="ctrX" refFor="ch" refForName="picture_2"/>
                <dgm:constr type="ctrY" for="ch" forName="line_2" refType="ctrY" refFor="ch" refForName="picture_2"/>
                <dgm:constr type="r" for="ch" forName="textparent_2" refType="w"/>
                <dgm:constr type="h" for="ch" forName="textparent_2" refType="h" refFor="ch" refForName="picture_2"/>
                <dgm:constr type="l" for="ch" forName="textparent_2" refType="r" refFor="ch" refForName="picture_2"/>
                <dgm:constr type="ctrY" for="ch" forName="textparent_2" refType="ctrY" refFor="ch" refForName="picture_2"/>
                <dgm:constr type="primFontSz" for="des" forName="text_2" val="65"/>
                <dgm:constr type="w" for="ch" forName="picture_3" refType="w" refFor="ch" refForName="picture_1" fact="0.375"/>
                <dgm:constr type="h" for="ch" forName="picture_3" refType="h" refFor="ch" refForName="picture_1" fact="0.375"/>
                <dgm:constr type="l" for="ch" forName="picture_3" refType="w" refFor="ch" refForName="picture_1" fact="1.21"/>
                <dgm:constr type="ctrY" for="ch" forName="picture_3" refType="h" refFor="ch" refForName="picture_1" fact="0.8125"/>
                <dgm:constr type="l" for="ch" forName="line_3" refType="ctrX" refFor="ch" refForName="picture_1"/>
                <dgm:constr type="h" for="ch" forName="line_3"/>
                <dgm:constr type="r" for="ch" forName="line_3" refType="ctrX" refFor="ch" refForName="picture_3"/>
                <dgm:constr type="ctrY" for="ch" forName="line_3" refType="ctrY" refFor="ch" refForName="picture_3"/>
                <dgm:constr type="r" for="ch" forName="textparent_3" refType="w"/>
                <dgm:constr type="h" for="ch" forName="textparent_3" refType="h" refFor="ch" refForName="picture_3"/>
                <dgm:constr type="l" for="ch" forName="textparent_3" refType="r" refFor="ch" refForName="picture_3"/>
                <dgm:constr type="ctrY" for="ch" forName="textparent_3" refType="ctrY" refFor="ch" refForName="picture_3"/>
                <dgm:constr type="primFontSz" for="des" forName="text_3" refType="primFontSz" refFor="des" refForName="text_2" op="equ"/>
              </dgm:constrLst>
            </dgm:if>
            <dgm:else name="Name11">
              <dgm:constrLst>
                <dgm:constr type="h" for="ch" forName="picture_1" refType="h"/>
                <dgm:constr type="w" for="ch" forName="picture_1" refType="h" refFor="ch" refForName="picture_1" op="equ"/>
                <dgm:constr type="r" for="ch" forName="picture_1" refType="w"/>
                <dgm:constr type="t" for="ch" forName="picture_1"/>
                <dgm:constr type="w" for="ch" forName="text_1" refType="w" refFor="ch" refForName="picture_1" fact="0.64"/>
                <dgm:constr type="h" for="ch" forName="text_1" refType="h" refFor="ch" refForName="picture_1" fact="0.33"/>
                <dgm:constr type="l" for="ch" forName="text_1" refType="l" refFor="ch" refForName="picture_1"/>
                <dgm:constr type="lOff" for="ch" forName="text_1" refType="w" refFor="ch" refForName="picture_1" fact="0.18"/>
                <dgm:constr type="t" for="ch" forName="text_1" refType="h" refFor="ch" refForName="picture_1" fact="0.531"/>
                <dgm:constr type="w" for="ch" forName="picture_2" refType="w" refFor="ch" refForName="picture_1" fact="0.375"/>
                <dgm:constr type="h" for="ch" forName="picture_2" refType="h" refFor="ch" refForName="picture_1" fact="0.375"/>
                <dgm:constr type="r" for="ch" forName="picture_2" refType="w"/>
                <dgm:constr type="rOff" for="ch" forName="picture_2" refType="w" refFor="ch" refForName="picture_1" fact="-1.21"/>
                <dgm:constr type="ctrY" for="ch" forName="picture_2" refType="h" refFor="ch" refForName="picture_1" fact="0.1875"/>
                <dgm:constr type="r" for="ch" forName="line_2" refType="ctrX" refFor="ch" refForName="picture_1"/>
                <dgm:constr type="h" for="ch" forName="line_2"/>
                <dgm:constr type="l" for="ch" forName="line_2" refType="ctrX" refFor="ch" refForName="picture_2"/>
                <dgm:constr type="ctrY" for="ch" forName="line_2" refType="ctrY" refFor="ch" refForName="picture_2"/>
                <dgm:constr type="l" for="ch" forName="textparent_2"/>
                <dgm:constr type="h" for="ch" forName="textparent_2" refType="h" refFor="ch" refForName="picture_2"/>
                <dgm:constr type="r" for="ch" forName="textparent_2" refType="l" refFor="ch" refForName="picture_2"/>
                <dgm:constr type="ctrY" for="ch" forName="textparent_2" refType="ctrY" refFor="ch" refForName="picture_2"/>
                <dgm:constr type="primFontSz" for="des" forName="text_2" val="65"/>
                <dgm:constr type="w" for="ch" forName="picture_3" refType="w" refFor="ch" refForName="picture_1" fact="0.375"/>
                <dgm:constr type="h" for="ch" forName="picture_3" refType="h" refFor="ch" refForName="picture_1" fact="0.375"/>
                <dgm:constr type="r" for="ch" forName="picture_3" refType="w"/>
                <dgm:constr type="rOff" for="ch" forName="picture_3" refType="w" refFor="ch" refForName="picture_1" fact="-1.21"/>
                <dgm:constr type="ctrY" for="ch" forName="picture_3" refType="h" refFor="ch" refForName="picture_1" fact="0.8125"/>
                <dgm:constr type="r" for="ch" forName="line_3" refType="ctrX" refFor="ch" refForName="picture_1"/>
                <dgm:constr type="h" for="ch" forName="line_3"/>
                <dgm:constr type="l" for="ch" forName="line_3" refType="ctrX" refFor="ch" refForName="picture_3"/>
                <dgm:constr type="ctrY" for="ch" forName="line_3" refType="ctrY" refFor="ch" refForName="picture_3"/>
                <dgm:constr type="l" for="ch" forName="textparent_3"/>
                <dgm:constr type="h" for="ch" forName="textparent_3" refType="h" refFor="ch" refForName="picture_3"/>
                <dgm:constr type="r" for="ch" forName="textparent_3" refType="l" refFor="ch" refForName="picture_3"/>
                <dgm:constr type="ctrY" for="ch" forName="textparent_3" refType="ctrY" refFor="ch" refForName="picture_3"/>
                <dgm:constr type="primFontSz" for="des" forName="text_3" refType="primFontSz" refFor="des" refForName="text_2" op="equ"/>
              </dgm:constrLst>
            </dgm:else>
          </dgm:choose>
        </dgm:if>
        <dgm:if name="Name12" axis="ch" ptType="node" func="cnt" op="lte" val="4">
          <dgm:choose name="Name13">
            <dgm:if name="Name14" func="var" arg="dir" op="equ" val="norm">
              <dgm:constrLst>
                <dgm:constr type="h" for="ch" forName="picture_1" refType="h"/>
                <dgm:constr type="w" for="ch" forName="picture_1" refType="h" refFor="ch" refForName="picture_1" op="equ"/>
                <dgm:constr type="l" for="ch" forName="picture_1"/>
                <dgm:constr type="t" for="ch" forName="picture_1"/>
                <dgm:constr type="w" for="ch" forName="text_1" refType="w" refFor="ch" refForName="picture_1" fact="0.64"/>
                <dgm:constr type="h" for="ch" forName="text_1" refType="h" refFor="ch" refForName="picture_1" fact="0.33"/>
                <dgm:constr type="l" for="ch" forName="text_1" refType="l" refFor="ch" refForName="picture_1"/>
                <dgm:constr type="lOff" for="ch" forName="text_1" refType="w" refFor="ch" refForName="picture_1" fact="0.18"/>
                <dgm:constr type="t" for="ch" forName="text_1" refType="h" refFor="ch" refForName="picture_1" fact="0.531"/>
                <dgm:constr type="w" for="ch" forName="picture_2" refType="w" refFor="ch" refForName="picture_1" fact="0.3"/>
                <dgm:constr type="h" for="ch" forName="picture_2" refType="h" refFor="ch" refForName="picture_1" fact="0.3"/>
                <dgm:constr type="l" for="ch" forName="picture_2" refType="w" refFor="ch" refForName="picture_1" fact="1.354"/>
                <dgm:constr type="ctrY" for="ch" forName="picture_2" refType="h" refFor="ch" refForName="picture_1" fact="0.15"/>
                <dgm:constr type="l" for="ch" forName="line_2" refType="ctrX" refFor="ch" refForName="picture_1"/>
                <dgm:constr type="h" for="ch" forName="line_2"/>
                <dgm:constr type="r" for="ch" forName="line_2" refType="ctrX" refFor="ch" refForName="picture_2"/>
                <dgm:constr type="ctrY" for="ch" forName="line_2" refType="ctrY" refFor="ch" refForName="picture_2"/>
                <dgm:constr type="r" for="ch" forName="textparent_2" refType="w"/>
                <dgm:constr type="h" for="ch" forName="textparent_2" refType="h" refFor="ch" refForName="picture_2"/>
                <dgm:constr type="l" for="ch" forName="textparent_2" refType="r" refFor="ch" refForName="picture_2"/>
                <dgm:constr type="ctrY" for="ch" forName="textparent_2" refType="ctrY" refFor="ch" refForName="picture_2"/>
                <dgm:constr type="primFontSz" for="des" forName="text_2" val="65"/>
                <dgm:constr type="w" for="ch" forName="picture_3" refType="w" refFor="ch" refForName="picture_1" fact="0.3"/>
                <dgm:constr type="h" for="ch" forName="picture_3" refType="h" refFor="ch" refForName="picture_1" fact="0.3"/>
                <dgm:constr type="l" for="ch" forName="picture_3" refType="w" refFor="ch" refForName="picture_1" fact="1.21"/>
                <dgm:constr type="ctrY" for="ch" forName="picture_3" refType="h" refFor="ch" refForName="picture_1" fact="0.5"/>
                <dgm:constr type="l" for="ch" forName="line_3" refType="ctrX" refFor="ch" refForName="picture_1"/>
                <dgm:constr type="h" for="ch" forName="line_3"/>
                <dgm:constr type="r" for="ch" forName="line_3" refType="ctrX" refFor="ch" refForName="picture_3"/>
                <dgm:constr type="ctrY" for="ch" forName="line_3" refType="ctrY" refFor="ch" refForName="picture_3"/>
                <dgm:constr type="r" for="ch" forName="textparent_3" refType="w"/>
                <dgm:constr type="h" for="ch" forName="textparent_3" refType="h" refFor="ch" refForName="picture_3"/>
                <dgm:constr type="l" for="ch" forName="textparent_3" refType="r" refFor="ch" refForName="picture_3"/>
                <dgm:constr type="ctrY" for="ch" forName="textparent_3" refType="ctrY" refFor="ch" refForName="picture_3"/>
                <dgm:constr type="primFontSz" for="des" forName="text_3" refType="primFontSz" refFor="des" refForName="text_2" op="equ"/>
                <dgm:constr type="w" for="ch" forName="picture_4" refType="w" refFor="ch" refForName="picture_1" fact="0.3"/>
                <dgm:constr type="h" for="ch" forName="picture_4" refType="h" refFor="ch" refForName="picture_1" fact="0.3"/>
                <dgm:constr type="l" for="ch" forName="picture_4" refType="w" refFor="ch" refForName="picture_1" fact="1.354"/>
                <dgm:constr type="ctrY" for="ch" forName="picture_4" refType="h" refFor="ch" refForName="picture_1" fact="0.85"/>
                <dgm:constr type="l" for="ch" forName="line_4" refType="ctrX" refFor="ch" refForName="picture_1"/>
                <dgm:constr type="h" for="ch" forName="line_4"/>
                <dgm:constr type="r" for="ch" forName="line_4" refType="ctrX" refFor="ch" refForName="picture_4"/>
                <dgm:constr type="ctrY" for="ch" forName="line_4" refType="ctrY" refFor="ch" refForName="picture_4"/>
                <dgm:constr type="r" for="ch" forName="textparent_4" refType="w"/>
                <dgm:constr type="h" for="ch" forName="textparent_4" refType="h" refFor="ch" refForName="picture_4"/>
                <dgm:constr type="l" for="ch" forName="textparent_4" refType="r" refFor="ch" refForName="picture_4"/>
                <dgm:constr type="ctrY" for="ch" forName="textparent_4" refType="ctrY" refFor="ch" refForName="picture_4"/>
                <dgm:constr type="primFontSz" for="des" forName="text_4" refType="primFontSz" refFor="des" refForName="text_2" op="equ"/>
              </dgm:constrLst>
            </dgm:if>
            <dgm:else name="Name15">
              <dgm:constrLst>
                <dgm:constr type="h" for="ch" forName="picture_1" refType="h"/>
                <dgm:constr type="w" for="ch" forName="picture_1" refType="h" refFor="ch" refForName="picture_1" op="equ"/>
                <dgm:constr type="r" for="ch" forName="picture_1" refType="w"/>
                <dgm:constr type="t" for="ch" forName="picture_1"/>
                <dgm:constr type="w" for="ch" forName="text_1" refType="w" refFor="ch" refForName="picture_1" fact="0.64"/>
                <dgm:constr type="h" for="ch" forName="text_1" refType="h" refFor="ch" refForName="picture_1" fact="0.33"/>
                <dgm:constr type="l" for="ch" forName="text_1" refType="l" refFor="ch" refForName="picture_1"/>
                <dgm:constr type="lOff" for="ch" forName="text_1" refType="w" refFor="ch" refForName="picture_1" fact="0.18"/>
                <dgm:constr type="t" for="ch" forName="text_1" refType="h" refFor="ch" refForName="picture_1" fact="0.531"/>
                <dgm:constr type="w" for="ch" forName="picture_2" refType="w" refFor="ch" refForName="picture_1" fact="0.3"/>
                <dgm:constr type="h" for="ch" forName="picture_2" refType="h" refFor="ch" refForName="picture_1" fact="0.3"/>
                <dgm:constr type="r" for="ch" forName="picture_2" refType="w"/>
                <dgm:constr type="rOff" for="ch" forName="picture_2" refType="w" refFor="ch" refForName="picture_1" fact="-1.354"/>
                <dgm:constr type="ctrY" for="ch" forName="picture_2" refType="h" refFor="ch" refForName="picture_1" fact="0.15"/>
                <dgm:constr type="r" for="ch" forName="line_2" refType="ctrX" refFor="ch" refForName="picture_1"/>
                <dgm:constr type="h" for="ch" forName="line_2"/>
                <dgm:constr type="l" for="ch" forName="line_2" refType="ctrX" refFor="ch" refForName="picture_2"/>
                <dgm:constr type="ctrY" for="ch" forName="line_2" refType="ctrY" refFor="ch" refForName="picture_2"/>
                <dgm:constr type="l" for="ch" forName="textparent_2"/>
                <dgm:constr type="h" for="ch" forName="textparent_2" refType="h" refFor="ch" refForName="picture_2"/>
                <dgm:constr type="r" for="ch" forName="textparent_2" refType="l" refFor="ch" refForName="picture_2"/>
                <dgm:constr type="ctrY" for="ch" forName="textparent_2" refType="ctrY" refFor="ch" refForName="picture_2"/>
                <dgm:constr type="primFontSz" for="des" forName="text_2" val="65"/>
                <dgm:constr type="w" for="ch" forName="picture_3" refType="w" refFor="ch" refForName="picture_1" fact="0.3"/>
                <dgm:constr type="h" for="ch" forName="picture_3" refType="h" refFor="ch" refForName="picture_1" fact="0.3"/>
                <dgm:constr type="r" for="ch" forName="picture_3" refType="w"/>
                <dgm:constr type="rOff" for="ch" forName="picture_3" refType="w" refFor="ch" refForName="picture_1" fact="-1.21"/>
                <dgm:constr type="ctrY" for="ch" forName="picture_3" refType="h" refFor="ch" refForName="picture_1" fact="0.5"/>
                <dgm:constr type="r" for="ch" forName="line_3" refType="ctrX" refFor="ch" refForName="picture_1"/>
                <dgm:constr type="h" for="ch" forName="line_3"/>
                <dgm:constr type="l" for="ch" forName="line_3" refType="ctrX" refFor="ch" refForName="picture_3"/>
                <dgm:constr type="ctrY" for="ch" forName="line_3" refType="ctrY" refFor="ch" refForName="picture_3"/>
                <dgm:constr type="l" for="ch" forName="textparent_3"/>
                <dgm:constr type="h" for="ch" forName="textparent_3" refType="h" refFor="ch" refForName="picture_3"/>
                <dgm:constr type="r" for="ch" forName="textparent_3" refType="l" refFor="ch" refForName="picture_3"/>
                <dgm:constr type="ctrY" for="ch" forName="textparent_3" refType="ctrY" refFor="ch" refForName="picture_3"/>
                <dgm:constr type="primFontSz" for="des" forName="text_3" refType="primFontSz" refFor="des" refForName="text_2" op="equ"/>
                <dgm:constr type="w" for="ch" forName="picture_4" refType="w" refFor="ch" refForName="picture_1" fact="0.3"/>
                <dgm:constr type="h" for="ch" forName="picture_4" refType="h" refFor="ch" refForName="picture_1" fact="0.3"/>
                <dgm:constr type="r" for="ch" forName="picture_4" refType="w"/>
                <dgm:constr type="rOff" for="ch" forName="picture_4" refType="w" refFor="ch" refForName="picture_1" fact="-1.354"/>
                <dgm:constr type="ctrY" for="ch" forName="picture_4" refType="h" refFor="ch" refForName="picture_1" fact="0.85"/>
                <dgm:constr type="r" for="ch" forName="line_4" refType="ctrX" refFor="ch" refForName="picture_1"/>
                <dgm:constr type="h" for="ch" forName="line_4"/>
                <dgm:constr type="l" for="ch" forName="line_4" refType="ctrX" refFor="ch" refForName="picture_4"/>
                <dgm:constr type="ctrY" for="ch" forName="line_4" refType="ctrY" refFor="ch" refForName="picture_4"/>
                <dgm:constr type="l" for="ch" forName="textparent_4"/>
                <dgm:constr type="h" for="ch" forName="textparent_4" refType="h" refFor="ch" refForName="picture_4"/>
                <dgm:constr type="r" for="ch" forName="textparent_4" refType="l" refFor="ch" refForName="picture_4"/>
                <dgm:constr type="ctrY" for="ch" forName="textparent_4" refType="ctrY" refFor="ch" refForName="picture_4"/>
                <dgm:constr type="primFontSz" for="des" forName="text_4" refType="primFontSz" refFor="des" refForName="text_2" op="equ"/>
              </dgm:constrLst>
            </dgm:else>
          </dgm:choose>
        </dgm:if>
        <dgm:if name="Name16" axis="ch" ptType="node" func="cnt" op="lte" val="5">
          <dgm:choose name="Name17">
            <dgm:if name="Name18" func="var" arg="dir" op="equ" val="norm">
              <dgm:constrLst>
                <dgm:constr type="h" for="ch" forName="picture_1" refType="h"/>
                <dgm:constr type="w" for="ch" forName="picture_1" refType="h" refFor="ch" refForName="picture_1" op="equ"/>
                <dgm:constr type="l" for="ch" forName="picture_1"/>
                <dgm:constr type="t" for="ch" forName="picture_1"/>
                <dgm:constr type="w" for="ch" forName="text_1" refType="w" refFor="ch" refForName="picture_1" fact="0.64"/>
                <dgm:constr type="h" for="ch" forName="text_1" refType="h" refFor="ch" refForName="picture_1" fact="0.33"/>
                <dgm:constr type="l" for="ch" forName="text_1" refType="l" refFor="ch" refForName="picture_1"/>
                <dgm:constr type="lOff" for="ch" forName="text_1" refType="w" refFor="ch" refForName="picture_1" fact="0.18"/>
                <dgm:constr type="t" for="ch" forName="text_1" refType="h" refFor="ch" refForName="picture_1" fact="0.531"/>
                <dgm:constr type="w" for="ch" forName="picture_2" refType="w" refFor="ch" refForName="picture_1" fact="0.22"/>
                <dgm:constr type="h" for="ch" forName="picture_2" refType="h" refFor="ch" refForName="picture_1" fact="0.22"/>
                <dgm:constr type="l" for="ch" forName="picture_2" refType="w" refFor="ch" refForName="picture_1" fact="1.375"/>
                <dgm:constr type="ctrY" for="ch" forName="picture_2" refType="h" refFor="ch" refForName="picture_1" fact="0.11"/>
                <dgm:constr type="l" for="ch" forName="line_2" refType="ctrX" refFor="ch" refForName="picture_1"/>
                <dgm:constr type="h" for="ch" forName="line_2"/>
                <dgm:constr type="r" for="ch" forName="line_2" refType="ctrX" refFor="ch" refForName="picture_2"/>
                <dgm:constr type="ctrY" for="ch" forName="line_2" refType="ctrY" refFor="ch" refForName="picture_2"/>
                <dgm:constr type="r" for="ch" forName="textparent_2" refType="w"/>
                <dgm:constr type="h" for="ch" forName="textparent_2" refType="h" refFor="ch" refForName="picture_2"/>
                <dgm:constr type="l" for="ch" forName="textparent_2" refType="r" refFor="ch" refForName="picture_2"/>
                <dgm:constr type="ctrY" for="ch" forName="textparent_2" refType="ctrY" refFor="ch" refForName="picture_2"/>
                <dgm:constr type="primFontSz" for="des" forName="text_2" val="65"/>
                <dgm:constr type="w" for="ch" forName="picture_3" refType="w" refFor="ch" refForName="picture_1" fact="0.22"/>
                <dgm:constr type="h" for="ch" forName="picture_3" refType="h" refFor="ch" refForName="picture_1" fact="0.22"/>
                <dgm:constr type="l" for="ch" forName="picture_3" refType="w" refFor="ch" refForName="picture_1" fact="1.21"/>
                <dgm:constr type="ctrY" for="ch" forName="picture_3" refType="h" refFor="ch" refForName="picture_1" fact="0.353"/>
                <dgm:constr type="l" for="ch" forName="line_3" refType="ctrX" refFor="ch" refForName="picture_1"/>
                <dgm:constr type="h" for="ch" forName="line_3"/>
                <dgm:constr type="r" for="ch" forName="line_3" refType="ctrX" refFor="ch" refForName="picture_3"/>
                <dgm:constr type="ctrY" for="ch" forName="line_3" refType="ctrY" refFor="ch" refForName="picture_3"/>
                <dgm:constr type="r" for="ch" forName="textparent_3" refType="w"/>
                <dgm:constr type="h" for="ch" forName="textparent_3" refType="h" refFor="ch" refForName="picture_3"/>
                <dgm:constr type="l" for="ch" forName="textparent_3" refType="r" refFor="ch" refForName="picture_3"/>
                <dgm:constr type="ctrY" for="ch" forName="textparent_3" refType="ctrY" refFor="ch" refForName="picture_3"/>
                <dgm:constr type="primFontSz" for="des" forName="text_3" refType="primFontSz" refFor="des" refForName="text_2" op="equ"/>
                <dgm:constr type="w" for="ch" forName="picture_4" refType="w" refFor="ch" refForName="picture_1" fact="0.22"/>
                <dgm:constr type="h" for="ch" forName="picture_4" refType="h" refFor="ch" refForName="picture_1" fact="0.22"/>
                <dgm:constr type="l" for="ch" forName="picture_4" refType="w" refFor="ch" refForName="picture_1" fact="1.21"/>
                <dgm:constr type="ctrY" for="ch" forName="picture_4" refType="h" refFor="ch" refForName="picture_1" fact="0.647"/>
                <dgm:constr type="l" for="ch" forName="line_4" refType="ctrX" refFor="ch" refForName="picture_1"/>
                <dgm:constr type="h" for="ch" forName="line_4"/>
                <dgm:constr type="r" for="ch" forName="line_4" refType="ctrX" refFor="ch" refForName="picture_4"/>
                <dgm:constr type="ctrY" for="ch" forName="line_4" refType="ctrY" refFor="ch" refForName="picture_4"/>
                <dgm:constr type="r" for="ch" forName="textparent_4" refType="w"/>
                <dgm:constr type="h" for="ch" forName="textparent_4" refType="h" refFor="ch" refForName="picture_4"/>
                <dgm:constr type="l" for="ch" forName="textparent_4" refType="r" refFor="ch" refForName="picture_4"/>
                <dgm:constr type="ctrY" for="ch" forName="textparent_4" refType="ctrY" refFor="ch" refForName="picture_4"/>
                <dgm:constr type="primFontSz" for="des" forName="text_4" refType="primFontSz" refFor="des" refForName="text_2" op="equ"/>
                <dgm:constr type="w" for="ch" forName="picture_5" refType="w" refFor="ch" refForName="picture_1" fact="0.22"/>
                <dgm:constr type="h" for="ch" forName="picture_5" refType="h" refFor="ch" refForName="picture_1" fact="0.22"/>
                <dgm:constr type="l" for="ch" forName="picture_5" refType="w" refFor="ch" refForName="picture_1" fact="1.375"/>
                <dgm:constr type="ctrY" for="ch" forName="picture_5" refType="h" refFor="ch" refForName="picture_1" fact="0.89"/>
                <dgm:constr type="l" for="ch" forName="line_5" refType="ctrX" refFor="ch" refForName="picture_1"/>
                <dgm:constr type="h" for="ch" forName="line_5"/>
                <dgm:constr type="r" for="ch" forName="line_5" refType="ctrX" refFor="ch" refForName="picture_5"/>
                <dgm:constr type="ctrY" for="ch" forName="line_5" refType="ctrY" refFor="ch" refForName="picture_5"/>
                <dgm:constr type="r" for="ch" forName="textparent_5" refType="w"/>
                <dgm:constr type="h" for="ch" forName="textparent_5" refType="h" refFor="ch" refForName="picture_5"/>
                <dgm:constr type="l" for="ch" forName="textparent_5" refType="r" refFor="ch" refForName="picture_5"/>
                <dgm:constr type="ctrY" for="ch" forName="textparent_5" refType="ctrY" refFor="ch" refForName="picture_5"/>
                <dgm:constr type="primFontSz" for="des" forName="text_5" refType="primFontSz" refFor="des" refForName="text_2" op="equ"/>
              </dgm:constrLst>
            </dgm:if>
            <dgm:else name="Name19">
              <dgm:constrLst>
                <dgm:constr type="h" for="ch" forName="picture_1" refType="h"/>
                <dgm:constr type="w" for="ch" forName="picture_1" refType="h" refFor="ch" refForName="picture_1" op="equ"/>
                <dgm:constr type="r" for="ch" forName="picture_1" refType="w"/>
                <dgm:constr type="t" for="ch" forName="picture_1"/>
                <dgm:constr type="w" for="ch" forName="text_1" refType="w" refFor="ch" refForName="picture_1" fact="0.64"/>
                <dgm:constr type="h" for="ch" forName="text_1" refType="h" refFor="ch" refForName="picture_1" fact="0.33"/>
                <dgm:constr type="l" for="ch" forName="text_1" refType="l" refFor="ch" refForName="picture_1"/>
                <dgm:constr type="lOff" for="ch" forName="text_1" refType="w" refFor="ch" refForName="picture_1" fact="0.18"/>
                <dgm:constr type="t" for="ch" forName="text_1" refType="h" refFor="ch" refForName="picture_1" fact="0.531"/>
                <dgm:constr type="w" for="ch" forName="picture_2" refType="w" refFor="ch" refForName="picture_1" fact="0.22"/>
                <dgm:constr type="h" for="ch" forName="picture_2" refType="h" refFor="ch" refForName="picture_1" fact="0.22"/>
                <dgm:constr type="r" for="ch" forName="picture_2" refType="w"/>
                <dgm:constr type="rOff" for="ch" forName="picture_2" refType="w" refFor="ch" refForName="picture_1" fact="-1.375"/>
                <dgm:constr type="ctrY" for="ch" forName="picture_2" refType="h" refFor="ch" refForName="picture_1" fact="0.11"/>
                <dgm:constr type="r" for="ch" forName="line_2" refType="ctrX" refFor="ch" refForName="picture_1"/>
                <dgm:constr type="h" for="ch" forName="line_2"/>
                <dgm:constr type="l" for="ch" forName="line_2" refType="ctrX" refFor="ch" refForName="picture_2"/>
                <dgm:constr type="ctrY" for="ch" forName="line_2" refType="ctrY" refFor="ch" refForName="picture_2"/>
                <dgm:constr type="l" for="ch" forName="textparent_2"/>
                <dgm:constr type="h" for="ch" forName="textparent_2" refType="h" refFor="ch" refForName="picture_2"/>
                <dgm:constr type="r" for="ch" forName="textparent_2" refType="l" refFor="ch" refForName="picture_2"/>
                <dgm:constr type="ctrY" for="ch" forName="textparent_2" refType="ctrY" refFor="ch" refForName="picture_2"/>
                <dgm:constr type="primFontSz" for="des" forName="text_2" val="65"/>
                <dgm:constr type="w" for="ch" forName="picture_3" refType="w" refFor="ch" refForName="picture_1" fact="0.22"/>
                <dgm:constr type="h" for="ch" forName="picture_3" refType="h" refFor="ch" refForName="picture_1" fact="0.22"/>
                <dgm:constr type="r" for="ch" forName="picture_3" refType="w"/>
                <dgm:constr type="rOff" for="ch" forName="picture_3" refType="w" refFor="ch" refForName="picture_1" fact="-1.21"/>
                <dgm:constr type="ctrY" for="ch" forName="picture_3" refType="h" refFor="ch" refForName="picture_1" fact="0.353"/>
                <dgm:constr type="r" for="ch" forName="line_3" refType="ctrX" refFor="ch" refForName="picture_1"/>
                <dgm:constr type="h" for="ch" forName="line_3"/>
                <dgm:constr type="l" for="ch" forName="line_3" refType="ctrX" refFor="ch" refForName="picture_3"/>
                <dgm:constr type="ctrY" for="ch" forName="line_3" refType="ctrY" refFor="ch" refForName="picture_3"/>
                <dgm:constr type="l" for="ch" forName="textparent_3"/>
                <dgm:constr type="h" for="ch" forName="textparent_3" refType="h" refFor="ch" refForName="picture_3"/>
                <dgm:constr type="r" for="ch" forName="textparent_3" refType="l" refFor="ch" refForName="picture_3"/>
                <dgm:constr type="ctrY" for="ch" forName="textparent_3" refType="ctrY" refFor="ch" refForName="picture_3"/>
                <dgm:constr type="primFontSz" for="des" forName="text_3" refType="primFontSz" refFor="des" refForName="text_2" op="equ"/>
                <dgm:constr type="w" for="ch" forName="picture_4" refType="w" refFor="ch" refForName="picture_1" fact="0.22"/>
                <dgm:constr type="h" for="ch" forName="picture_4" refType="h" refFor="ch" refForName="picture_1" fact="0.22"/>
                <dgm:constr type="r" for="ch" forName="picture_4" refType="w"/>
                <dgm:constr type="rOff" for="ch" forName="picture_4" refType="w" refFor="ch" refForName="picture_1" fact="-1.21"/>
                <dgm:constr type="ctrY" for="ch" forName="picture_4" refType="h" refFor="ch" refForName="picture_1" fact="0.647"/>
                <dgm:constr type="r" for="ch" forName="line_4" refType="ctrX" refFor="ch" refForName="picture_1"/>
                <dgm:constr type="h" for="ch" forName="line_4"/>
                <dgm:constr type="l" for="ch" forName="line_4" refType="ctrX" refFor="ch" refForName="picture_4"/>
                <dgm:constr type="ctrY" for="ch" forName="line_4" refType="ctrY" refFor="ch" refForName="picture_4"/>
                <dgm:constr type="l" for="ch" forName="textparent_4"/>
                <dgm:constr type="h" for="ch" forName="textparent_4" refType="h" refFor="ch" refForName="picture_4"/>
                <dgm:constr type="r" for="ch" forName="textparent_4" refType="l" refFor="ch" refForName="picture_4"/>
                <dgm:constr type="ctrY" for="ch" forName="textparent_4" refType="ctrY" refFor="ch" refForName="picture_4"/>
                <dgm:constr type="primFontSz" for="des" forName="text_4" refType="primFontSz" refFor="des" refForName="text_2" op="equ"/>
                <dgm:constr type="w" for="ch" forName="picture_5" refType="w" refFor="ch" refForName="picture_1" fact="0.22"/>
                <dgm:constr type="h" for="ch" forName="picture_5" refType="h" refFor="ch" refForName="picture_1" fact="0.22"/>
                <dgm:constr type="r" for="ch" forName="picture_5" refType="w"/>
                <dgm:constr type="rOff" for="ch" forName="picture_5" refType="w" refFor="ch" refForName="picture_1" fact="-1.375"/>
                <dgm:constr type="ctrY" for="ch" forName="picture_5" refType="h" refFor="ch" refForName="picture_1" fact="0.89"/>
                <dgm:constr type="r" for="ch" forName="line_5" refType="ctrX" refFor="ch" refForName="picture_1"/>
                <dgm:constr type="h" for="ch" forName="line_5"/>
                <dgm:constr type="l" for="ch" forName="line_5" refType="ctrX" refFor="ch" refForName="picture_5"/>
                <dgm:constr type="ctrY" for="ch" forName="line_5" refType="ctrY" refFor="ch" refForName="picture_5"/>
                <dgm:constr type="l" for="ch" forName="textparent_5"/>
                <dgm:constr type="h" for="ch" forName="textparent_5" refType="h" refFor="ch" refForName="picture_5"/>
                <dgm:constr type="r" for="ch" forName="textparent_5" refType="l" refFor="ch" refForName="picture_5"/>
                <dgm:constr type="ctrY" for="ch" forName="textparent_5" refType="ctrY" refFor="ch" refForName="picture_5"/>
                <dgm:constr type="primFontSz" for="des" forName="text_5" refType="primFontSz" refFor="des" refForName="text_2" op="equ"/>
              </dgm:constrLst>
            </dgm:else>
          </dgm:choose>
        </dgm:if>
        <dgm:if name="Name20" axis="ch" ptType="node" func="cnt" op="lte" val="6">
          <dgm:choose name="Name21">
            <dgm:if name="Name22" func="var" arg="dir" op="equ" val="norm">
              <dgm:constrLst>
                <dgm:constr type="h" for="ch" forName="picture_1" refType="h"/>
                <dgm:constr type="w" for="ch" forName="picture_1" refType="h" refFor="ch" refForName="picture_1" op="equ"/>
                <dgm:constr type="l" for="ch" forName="picture_1"/>
                <dgm:constr type="t" for="ch" forName="picture_1"/>
                <dgm:constr type="w" for="ch" forName="text_1" refType="w" refFor="ch" refForName="picture_1" fact="0.64"/>
                <dgm:constr type="h" for="ch" forName="text_1" refType="h" refFor="ch" refForName="picture_1" fact="0.33"/>
                <dgm:constr type="l" for="ch" forName="text_1" refType="l" refFor="ch" refForName="picture_1"/>
                <dgm:constr type="lOff" for="ch" forName="text_1" refType="w" refFor="ch" refForName="picture_1" fact="0.18"/>
                <dgm:constr type="t" for="ch" forName="text_1" refType="h" refFor="ch" refForName="picture_1" fact="0.531"/>
                <dgm:constr type="w" for="ch" forName="picture_2" refType="w" refFor="ch" refForName="picture_1" fact="0.18"/>
                <dgm:constr type="h" for="ch" forName="picture_2" refType="h" refFor="ch" refForName="picture_1" fact="0.18"/>
                <dgm:constr type="l" for="ch" forName="picture_2" refType="w" refFor="ch" refForName="picture_1" fact="1.4238"/>
                <dgm:constr type="ctrY" for="ch" forName="picture_2" refType="h" refFor="ch" refForName="picture_1" fact="0.09"/>
                <dgm:constr type="l" for="ch" forName="line_2" refType="ctrX" refFor="ch" refForName="picture_1"/>
                <dgm:constr type="h" for="ch" forName="line_2"/>
                <dgm:constr type="r" for="ch" forName="line_2" refType="ctrX" refFor="ch" refForName="picture_2"/>
                <dgm:constr type="ctrY" for="ch" forName="line_2" refType="ctrY" refFor="ch" refForName="picture_2"/>
                <dgm:constr type="r" for="ch" forName="textparent_2" refType="w"/>
                <dgm:constr type="h" for="ch" forName="textparent_2" refType="h" refFor="ch" refForName="picture_2"/>
                <dgm:constr type="l" for="ch" forName="textparent_2" refType="r" refFor="ch" refForName="picture_2"/>
                <dgm:constr type="ctrY" for="ch" forName="textparent_2" refType="ctrY" refFor="ch" refForName="picture_2"/>
                <dgm:constr type="primFontSz" for="des" forName="text_2" val="65"/>
                <dgm:constr type="w" for="ch" forName="picture_3" refType="w" refFor="ch" refForName="picture_1" fact="0.18"/>
                <dgm:constr type="h" for="ch" forName="picture_3" refType="h" refFor="ch" refForName="picture_1" fact="0.18"/>
                <dgm:constr type="l" for="ch" forName="picture_3" refType="w" refFor="ch" refForName="picture_1" fact="1.2667"/>
                <dgm:constr type="ctrY" for="ch" forName="picture_3" refType="h" refFor="ch" refForName="picture_1" fact="0.261"/>
                <dgm:constr type="l" for="ch" forName="line_3" refType="ctrX" refFor="ch" refForName="picture_1"/>
                <dgm:constr type="h" for="ch" forName="line_3"/>
                <dgm:constr type="r" for="ch" forName="line_3" refType="ctrX" refFor="ch" refForName="picture_3"/>
                <dgm:constr type="ctrY" for="ch" forName="line_3" refType="ctrY" refFor="ch" refForName="picture_3"/>
                <dgm:constr type="r" for="ch" forName="textparent_3" refType="w"/>
                <dgm:constr type="h" for="ch" forName="textparent_3" refType="h" refFor="ch" refForName="picture_3"/>
                <dgm:constr type="l" for="ch" forName="textparent_3" refType="r" refFor="ch" refForName="picture_3"/>
                <dgm:constr type="ctrY" for="ch" forName="textparent_3" refType="ctrY" refFor="ch" refForName="picture_3"/>
                <dgm:constr type="primFontSz" for="des" forName="text_3" refType="primFontSz" refFor="des" refForName="text_2" op="equ"/>
                <dgm:constr type="w" for="ch" forName="picture_4" refType="w" refFor="ch" refForName="picture_1" fact="0.18"/>
                <dgm:constr type="h" for="ch" forName="picture_4" refType="h" refFor="ch" refForName="picture_1" fact="0.18"/>
                <dgm:constr type="l" for="ch" forName="picture_4" refType="w" refFor="ch" refForName="picture_1" fact="1.21"/>
                <dgm:constr type="ctrY" for="ch" forName="picture_4" refType="h" refFor="ch" refForName="picture_1" fact="0.5"/>
                <dgm:constr type="l" for="ch" forName="line_4" refType="ctrX" refFor="ch" refForName="picture_1"/>
                <dgm:constr type="h" for="ch" forName="line_4"/>
                <dgm:constr type="r" for="ch" forName="line_4" refType="ctrX" refFor="ch" refForName="picture_4"/>
                <dgm:constr type="ctrY" for="ch" forName="line_4" refType="ctrY" refFor="ch" refForName="picture_4"/>
                <dgm:constr type="r" for="ch" forName="textparent_4" refType="w"/>
                <dgm:constr type="h" for="ch" forName="textparent_4" refType="h" refFor="ch" refForName="picture_4"/>
                <dgm:constr type="l" for="ch" forName="textparent_4" refType="r" refFor="ch" refForName="picture_4"/>
                <dgm:constr type="ctrY" for="ch" forName="textparent_4" refType="ctrY" refFor="ch" refForName="picture_4"/>
                <dgm:constr type="primFontSz" for="des" forName="text_4" refType="primFontSz" refFor="des" refForName="text_2" op="equ"/>
                <dgm:constr type="w" for="ch" forName="picture_5" refType="w" refFor="ch" refForName="picture_1" fact="0.18"/>
                <dgm:constr type="h" for="ch" forName="picture_5" refType="h" refFor="ch" refForName="picture_1" fact="0.18"/>
                <dgm:constr type="l" for="ch" forName="picture_5" refType="w" refFor="ch" refForName="picture_1" fact="1.2667"/>
                <dgm:constr type="ctrY" for="ch" forName="picture_5" refType="h" refFor="ch" refForName="picture_1" fact="0.739"/>
                <dgm:constr type="l" for="ch" forName="line_5" refType="ctrX" refFor="ch" refForName="picture_1"/>
                <dgm:constr type="h" for="ch" forName="line_5"/>
                <dgm:constr type="r" for="ch" forName="line_5" refType="ctrX" refFor="ch" refForName="picture_5"/>
                <dgm:constr type="ctrY" for="ch" forName="line_5" refType="ctrY" refFor="ch" refForName="picture_5"/>
                <dgm:constr type="r" for="ch" forName="textparent_5" refType="w"/>
                <dgm:constr type="h" for="ch" forName="textparent_5" refType="h" refFor="ch" refForName="picture_5"/>
                <dgm:constr type="l" for="ch" forName="textparent_5" refType="r" refFor="ch" refForName="picture_5"/>
                <dgm:constr type="ctrY" for="ch" forName="textparent_5" refType="ctrY" refFor="ch" refForName="picture_5"/>
                <dgm:constr type="primFontSz" for="des" forName="text_5" refType="primFontSz" refFor="des" refForName="text_2" op="equ"/>
                <dgm:constr type="w" for="ch" forName="picture_6" refType="w" refFor="ch" refForName="picture_1" fact="0.18"/>
                <dgm:constr type="h" for="ch" forName="picture_6" refType="h" refFor="ch" refForName="picture_1" fact="0.18"/>
                <dgm:constr type="l" for="ch" forName="picture_6" refType="w" refFor="ch" refForName="picture_1" fact="1.4238"/>
                <dgm:constr type="ctrY" for="ch" forName="picture_6" refType="h" refFor="ch" refForName="picture_1" fact="0.91"/>
                <dgm:constr type="l" for="ch" forName="line_6" refType="ctrX" refFor="ch" refForName="picture_1"/>
                <dgm:constr type="h" for="ch" forName="line_6"/>
                <dgm:constr type="r" for="ch" forName="line_6" refType="ctrX" refFor="ch" refForName="picture_6"/>
                <dgm:constr type="ctrY" for="ch" forName="line_6" refType="ctrY" refFor="ch" refForName="picture_6"/>
                <dgm:constr type="r" for="ch" forName="textparent_6" refType="w"/>
                <dgm:constr type="h" for="ch" forName="textparent_6" refType="h" refFor="ch" refForName="picture_6"/>
                <dgm:constr type="l" for="ch" forName="textparent_6" refType="r" refFor="ch" refForName="picture_6"/>
                <dgm:constr type="ctrY" for="ch" forName="textparent_6" refType="ctrY" refFor="ch" refForName="picture_6"/>
                <dgm:constr type="primFontSz" for="des" forName="text_6" refType="primFontSz" refFor="des" refForName="text_2" op="equ"/>
              </dgm:constrLst>
            </dgm:if>
            <dgm:else name="Name23">
              <dgm:constrLst>
                <dgm:constr type="h" for="ch" forName="picture_1" refType="h"/>
                <dgm:constr type="w" for="ch" forName="picture_1" refType="h" refFor="ch" refForName="picture_1" op="equ"/>
                <dgm:constr type="r" for="ch" forName="picture_1" refType="w"/>
                <dgm:constr type="t" for="ch" forName="picture_1"/>
                <dgm:constr type="w" for="ch" forName="text_1" refType="w" refFor="ch" refForName="picture_1" fact="0.64"/>
                <dgm:constr type="h" for="ch" forName="text_1" refType="h" refFor="ch" refForName="picture_1" fact="0.33"/>
                <dgm:constr type="l" for="ch" forName="text_1" refType="l" refFor="ch" refForName="picture_1"/>
                <dgm:constr type="lOff" for="ch" forName="text_1" refType="w" refFor="ch" refForName="picture_1" fact="0.18"/>
                <dgm:constr type="t" for="ch" forName="text_1" refType="h" refFor="ch" refForName="picture_1" fact="0.531"/>
                <dgm:constr type="w" for="ch" forName="picture_2" refType="w" refFor="ch" refForName="picture_1" fact="0.18"/>
                <dgm:constr type="h" for="ch" forName="picture_2" refType="h" refFor="ch" refForName="picture_1" fact="0.18"/>
                <dgm:constr type="r" for="ch" forName="picture_2" refType="w"/>
                <dgm:constr type="rOff" for="ch" forName="picture_2" refType="w" refFor="ch" refForName="picture_1" fact="-1.4238"/>
                <dgm:constr type="ctrY" for="ch" forName="picture_2" refType="h" refFor="ch" refForName="picture_1" fact="0.09"/>
                <dgm:constr type="r" for="ch" forName="line_2" refType="ctrX" refFor="ch" refForName="picture_1"/>
                <dgm:constr type="h" for="ch" forName="line_2"/>
                <dgm:constr type="l" for="ch" forName="line_2" refType="ctrX" refFor="ch" refForName="picture_2"/>
                <dgm:constr type="ctrY" for="ch" forName="line_2" refType="ctrY" refFor="ch" refForName="picture_2"/>
                <dgm:constr type="l" for="ch" forName="textparent_2"/>
                <dgm:constr type="h" for="ch" forName="textparent_2" refType="h" refFor="ch" refForName="picture_2"/>
                <dgm:constr type="r" for="ch" forName="textparent_2" refType="l" refFor="ch" refForName="picture_2"/>
                <dgm:constr type="ctrY" for="ch" forName="textparent_2" refType="ctrY" refFor="ch" refForName="picture_2"/>
                <dgm:constr type="primFontSz" for="des" forName="text_2" val="65"/>
                <dgm:constr type="w" for="ch" forName="picture_3" refType="w" refFor="ch" refForName="picture_1" fact="0.18"/>
                <dgm:constr type="h" for="ch" forName="picture_3" refType="h" refFor="ch" refForName="picture_1" fact="0.18"/>
                <dgm:constr type="r" for="ch" forName="picture_3" refType="w"/>
                <dgm:constr type="rOff" for="ch" forName="picture_3" refType="w" refFor="ch" refForName="picture_1" fact="-1.2667"/>
                <dgm:constr type="ctrY" for="ch" forName="picture_3" refType="h" refFor="ch" refForName="picture_1" fact="0.261"/>
                <dgm:constr type="r" for="ch" forName="line_3" refType="ctrX" refFor="ch" refForName="picture_1"/>
                <dgm:constr type="h" for="ch" forName="line_3"/>
                <dgm:constr type="l" for="ch" forName="line_3" refType="ctrX" refFor="ch" refForName="picture_3"/>
                <dgm:constr type="ctrY" for="ch" forName="line_3" refType="ctrY" refFor="ch" refForName="picture_3"/>
                <dgm:constr type="l" for="ch" forName="textparent_3"/>
                <dgm:constr type="h" for="ch" forName="textparent_3" refType="h" refFor="ch" refForName="picture_3"/>
                <dgm:constr type="r" for="ch" forName="textparent_3" refType="l" refFor="ch" refForName="picture_3"/>
                <dgm:constr type="ctrY" for="ch" forName="textparent_3" refType="ctrY" refFor="ch" refForName="picture_3"/>
                <dgm:constr type="primFontSz" for="des" forName="text_3" refType="primFontSz" refFor="des" refForName="text_2" op="equ"/>
                <dgm:constr type="w" for="ch" forName="picture_4" refType="w" refFor="ch" refForName="picture_1" fact="0.18"/>
                <dgm:constr type="h" for="ch" forName="picture_4" refType="h" refFor="ch" refForName="picture_1" fact="0.18"/>
                <dgm:constr type="r" for="ch" forName="picture_4" refType="w"/>
                <dgm:constr type="rOff" for="ch" forName="picture_4" refType="w" refFor="ch" refForName="picture_1" fact="-1.21"/>
                <dgm:constr type="ctrY" for="ch" forName="picture_4" refType="h" refFor="ch" refForName="picture_1" fact="0.5"/>
                <dgm:constr type="r" for="ch" forName="line_4" refType="ctrX" refFor="ch" refForName="picture_1"/>
                <dgm:constr type="h" for="ch" forName="line_4"/>
                <dgm:constr type="l" for="ch" forName="line_4" refType="ctrX" refFor="ch" refForName="picture_4"/>
                <dgm:constr type="ctrY" for="ch" forName="line_4" refType="ctrY" refFor="ch" refForName="picture_4"/>
                <dgm:constr type="l" for="ch" forName="textparent_4"/>
                <dgm:constr type="h" for="ch" forName="textparent_4" refType="h" refFor="ch" refForName="picture_4"/>
                <dgm:constr type="r" for="ch" forName="textparent_4" refType="l" refFor="ch" refForName="picture_4"/>
                <dgm:constr type="ctrY" for="ch" forName="textparent_4" refType="ctrY" refFor="ch" refForName="picture_4"/>
                <dgm:constr type="primFontSz" for="des" forName="text_4" refType="primFontSz" refFor="des" refForName="text_2" op="equ"/>
                <dgm:constr type="w" for="ch" forName="picture_5" refType="w" refFor="ch" refForName="picture_1" fact="0.18"/>
                <dgm:constr type="h" for="ch" forName="picture_5" refType="h" refFor="ch" refForName="picture_1" fact="0.18"/>
                <dgm:constr type="r" for="ch" forName="picture_5" refType="w"/>
                <dgm:constr type="rOff" for="ch" forName="picture_5" refType="w" refFor="ch" refForName="picture_1" fact="-1.2667"/>
                <dgm:constr type="ctrY" for="ch" forName="picture_5" refType="h" refFor="ch" refForName="picture_1" fact="0.739"/>
                <dgm:constr type="r" for="ch" forName="line_5" refType="ctrX" refFor="ch" refForName="picture_1"/>
                <dgm:constr type="h" for="ch" forName="line_5"/>
                <dgm:constr type="l" for="ch" forName="line_5" refType="ctrX" refFor="ch" refForName="picture_5"/>
                <dgm:constr type="ctrY" for="ch" forName="line_5" refType="ctrY" refFor="ch" refForName="picture_5"/>
                <dgm:constr type="l" for="ch" forName="textparent_5"/>
                <dgm:constr type="h" for="ch" forName="textparent_5" refType="h" refFor="ch" refForName="picture_5"/>
                <dgm:constr type="r" for="ch" forName="textparent_5" refType="l" refFor="ch" refForName="picture_5"/>
                <dgm:constr type="ctrY" for="ch" forName="textparent_5" refType="ctrY" refFor="ch" refForName="picture_5"/>
                <dgm:constr type="primFontSz" for="des" forName="text_5" refType="primFontSz" refFor="des" refForName="text_2" op="equ"/>
                <dgm:constr type="w" for="ch" forName="picture_6" refType="w" refFor="ch" refForName="picture_1" fact="0.18"/>
                <dgm:constr type="h" for="ch" forName="picture_6" refType="h" refFor="ch" refForName="picture_1" fact="0.18"/>
                <dgm:constr type="r" for="ch" forName="picture_6" refType="w"/>
                <dgm:constr type="rOff" for="ch" forName="picture_6" refType="w" refFor="ch" refForName="picture_1" fact="-1.4238"/>
                <dgm:constr type="ctrY" for="ch" forName="picture_6" refType="h" refFor="ch" refForName="picture_1" fact="0.91"/>
                <dgm:constr type="r" for="ch" forName="line_6" refType="ctrX" refFor="ch" refForName="picture_1"/>
                <dgm:constr type="h" for="ch" forName="line_6"/>
                <dgm:constr type="l" for="ch" forName="line_6" refType="ctrX" refFor="ch" refForName="picture_6"/>
                <dgm:constr type="ctrY" for="ch" forName="line_6" refType="ctrY" refFor="ch" refForName="picture_6"/>
                <dgm:constr type="l" for="ch" forName="textparent_6"/>
                <dgm:constr type="h" for="ch" forName="textparent_6" refType="h" refFor="ch" refForName="picture_6"/>
                <dgm:constr type="r" for="ch" forName="textparent_6" refType="l" refFor="ch" refForName="picture_6"/>
                <dgm:constr type="ctrY" for="ch" forName="textparent_6" refType="ctrY" refFor="ch" refForName="picture_6"/>
                <dgm:constr type="primFontSz" for="des" forName="text_6" refType="primFontSz" refFor="des" refForName="text_2" op="equ"/>
              </dgm:constrLst>
            </dgm:else>
          </dgm:choose>
        </dgm:if>
        <dgm:else name="Name24">
          <dgm:choose name="Name25">
            <dgm:if name="Name26" func="var" arg="dir" op="equ" val="norm">
              <dgm:constrLst>
                <dgm:constr type="h" for="ch" forName="picture_1" refType="h"/>
                <dgm:constr type="w" for="ch" forName="picture_1" refType="h" refFor="ch" refForName="picture_1" op="equ"/>
                <dgm:constr type="l" for="ch" forName="picture_1"/>
                <dgm:constr type="t" for="ch" forName="picture_1"/>
                <dgm:constr type="w" for="ch" forName="text_1" refType="w" refFor="ch" refForName="picture_1" fact="0.64"/>
                <dgm:constr type="h" for="ch" forName="text_1" refType="h" refFor="ch" refForName="picture_1" fact="0.33"/>
                <dgm:constr type="l" for="ch" forName="text_1" refType="l" refFor="ch" refForName="picture_1"/>
                <dgm:constr type="lOff" for="ch" forName="text_1" refType="w" refFor="ch" refForName="picture_1" fact="0.18"/>
                <dgm:constr type="t" for="ch" forName="text_1" refType="h" refFor="ch" refForName="picture_1" fact="0.531"/>
                <dgm:constr type="w" for="ch" forName="picture_2" refType="w" refFor="ch" refForName="picture_1" fact="0.15"/>
                <dgm:constr type="h" for="ch" forName="picture_2" refType="h" refFor="ch" refForName="picture_1" fact="0.15"/>
                <dgm:constr type="l" for="ch" forName="picture_2" refType="w" refFor="ch" refForName="picture_1" fact="1.4363"/>
                <dgm:constr type="ctrY" for="ch" forName="picture_2" refType="h" refFor="ch" refForName="picture_1" fact="0.075"/>
                <dgm:constr type="l" for="ch" forName="line_2" refType="ctrX" refFor="ch" refForName="picture_1"/>
                <dgm:constr type="h" for="ch" forName="line_2"/>
                <dgm:constr type="r" for="ch" forName="line_2" refType="ctrX" refFor="ch" refForName="picture_2"/>
                <dgm:constr type="ctrY" for="ch" forName="line_2" refType="ctrY" refFor="ch" refForName="picture_2"/>
                <dgm:constr type="r" for="ch" forName="textparent_2" refType="w"/>
                <dgm:constr type="h" for="ch" forName="textparent_2" refType="h" refFor="ch" refForName="picture_2"/>
                <dgm:constr type="l" for="ch" forName="textparent_2" refType="r" refFor="ch" refForName="picture_2"/>
                <dgm:constr type="ctrY" for="ch" forName="textparent_2" refType="ctrY" refFor="ch" refForName="picture_2"/>
                <dgm:constr type="primFontSz" for="des" forName="text_2" val="65"/>
                <dgm:constr type="w" for="ch" forName="picture_3" refType="w" refFor="ch" refForName="picture_1" fact="0.15"/>
                <dgm:constr type="h" for="ch" forName="picture_3" refType="h" refFor="ch" refForName="picture_1" fact="0.15"/>
                <dgm:constr type="l" for="ch" forName="picture_3" refType="w" refFor="ch" refForName="picture_1" fact="1.2898"/>
                <dgm:constr type="ctrY" for="ch" forName="picture_3" refType="h" refFor="ch" refForName="picture_1" fact="0.227"/>
                <dgm:constr type="l" for="ch" forName="line_3" refType="ctrX" refFor="ch" refForName="picture_1"/>
                <dgm:constr type="h" for="ch" forName="line_3"/>
                <dgm:constr type="r" for="ch" forName="line_3" refType="ctrX" refFor="ch" refForName="picture_3"/>
                <dgm:constr type="ctrY" for="ch" forName="line_3" refType="ctrY" refFor="ch" refForName="picture_3"/>
                <dgm:constr type="r" for="ch" forName="textparent_3" refType="w"/>
                <dgm:constr type="h" for="ch" forName="textparent_3" refType="h" refFor="ch" refForName="picture_3"/>
                <dgm:constr type="l" for="ch" forName="textparent_3" refType="r" refFor="ch" refForName="picture_3"/>
                <dgm:constr type="ctrY" for="ch" forName="textparent_3" refType="ctrY" refFor="ch" refForName="picture_3"/>
                <dgm:constr type="primFontSz" for="des" forName="text_3" refType="primFontSz" refFor="des" refForName="text_2" op="equ"/>
                <dgm:constr type="w" for="ch" forName="picture_4" refType="w" refFor="ch" refForName="picture_1" fact="0.15"/>
                <dgm:constr type="h" for="ch" forName="picture_4" refType="h" refFor="ch" refForName="picture_1" fact="0.15"/>
                <dgm:constr type="l" for="ch" forName="picture_4" refType="w" refFor="ch" refForName="picture_1" fact="1.21"/>
                <dgm:constr type="ctrY" for="ch" forName="picture_4" refType="h" refFor="ch" refForName="picture_1" fact="0.405"/>
                <dgm:constr type="l" for="ch" forName="line_4" refType="ctrX" refFor="ch" refForName="picture_1"/>
                <dgm:constr type="h" for="ch" forName="line_4"/>
                <dgm:constr type="r" for="ch" forName="line_4" refType="ctrX" refFor="ch" refForName="picture_4"/>
                <dgm:constr type="ctrY" for="ch" forName="line_4" refType="ctrY" refFor="ch" refForName="picture_4"/>
                <dgm:constr type="r" for="ch" forName="textparent_4" refType="w"/>
                <dgm:constr type="h" for="ch" forName="textparent_4" refType="h" refFor="ch" refForName="picture_4"/>
                <dgm:constr type="l" for="ch" forName="textparent_4" refType="r" refFor="ch" refForName="picture_4"/>
                <dgm:constr type="ctrY" for="ch" forName="textparent_4" refType="ctrY" refFor="ch" refForName="picture_4"/>
                <dgm:constr type="primFontSz" for="des" forName="text_4" refType="primFontSz" refFor="des" refForName="text_2" op="equ"/>
                <dgm:constr type="w" for="ch" forName="picture_5" refType="w" refFor="ch" refForName="picture_1" fact="0.15"/>
                <dgm:constr type="h" for="ch" forName="picture_5" refType="h" refFor="ch" refForName="picture_1" fact="0.15"/>
                <dgm:constr type="l" for="ch" forName="picture_5" refType="w" refFor="ch" refForName="picture_1" fact="1.21"/>
                <dgm:constr type="ctrY" for="ch" forName="picture_5" refType="h" refFor="ch" refForName="picture_1" fact="0.595"/>
                <dgm:constr type="l" for="ch" forName="line_5" refType="ctrX" refFor="ch" refForName="picture_1"/>
                <dgm:constr type="h" for="ch" forName="line_5"/>
                <dgm:constr type="r" for="ch" forName="line_5" refType="ctrX" refFor="ch" refForName="picture_5"/>
                <dgm:constr type="ctrY" for="ch" forName="line_5" refType="ctrY" refFor="ch" refForName="picture_5"/>
                <dgm:constr type="r" for="ch" forName="textparent_5" refType="w"/>
                <dgm:constr type="h" for="ch" forName="textparent_5" refType="h" refFor="ch" refForName="picture_5"/>
                <dgm:constr type="l" for="ch" forName="textparent_5" refType="r" refFor="ch" refForName="picture_5"/>
                <dgm:constr type="ctrY" for="ch" forName="textparent_5" refType="ctrY" refFor="ch" refForName="picture_5"/>
                <dgm:constr type="primFontSz" for="des" forName="text_5" refType="primFontSz" refFor="des" refForName="text_2" op="equ"/>
                <dgm:constr type="w" for="ch" forName="picture_6" refType="w" refFor="ch" refForName="picture_1" fact="0.15"/>
                <dgm:constr type="h" for="ch" forName="picture_6" refType="h" refFor="ch" refForName="picture_1" fact="0.15"/>
                <dgm:constr type="l" for="ch" forName="picture_6" refType="w" refFor="ch" refForName="picture_1" fact="1.2898"/>
                <dgm:constr type="ctrY" for="ch" forName="picture_6" refType="h" refFor="ch" refForName="picture_1" fact="0.773"/>
                <dgm:constr type="l" for="ch" forName="line_6" refType="ctrX" refFor="ch" refForName="picture_1"/>
                <dgm:constr type="h" for="ch" forName="line_6"/>
                <dgm:constr type="r" for="ch" forName="line_6" refType="ctrX" refFor="ch" refForName="picture_6"/>
                <dgm:constr type="ctrY" for="ch" forName="line_6" refType="ctrY" refFor="ch" refForName="picture_6"/>
                <dgm:constr type="r" for="ch" forName="textparent_6" refType="w"/>
                <dgm:constr type="h" for="ch" forName="textparent_6" refType="h" refFor="ch" refForName="picture_6"/>
                <dgm:constr type="l" for="ch" forName="textparent_6" refType="r" refFor="ch" refForName="picture_6"/>
                <dgm:constr type="ctrY" for="ch" forName="textparent_6" refType="ctrY" refFor="ch" refForName="picture_6"/>
                <dgm:constr type="primFontSz" for="des" forName="text_6" refType="primFontSz" refFor="des" refForName="text_2" op="equ"/>
                <dgm:constr type="w" for="ch" forName="picture_7" refType="w" refFor="ch" refForName="picture_1" fact="0.15"/>
                <dgm:constr type="h" for="ch" forName="picture_7" refType="h" refFor="ch" refForName="picture_1" fact="0.15"/>
                <dgm:constr type="l" for="ch" forName="picture_7" refType="w" refFor="ch" refForName="picture_1" fact="1.4363"/>
                <dgm:constr type="ctrY" for="ch" forName="picture_7" refType="h" refFor="ch" refForName="picture_1" fact="0.925"/>
                <dgm:constr type="l" for="ch" forName="line_7" refType="ctrX" refFor="ch" refForName="picture_1"/>
                <dgm:constr type="h" for="ch" forName="line_7"/>
                <dgm:constr type="r" for="ch" forName="line_7" refType="ctrX" refFor="ch" refForName="picture_7"/>
                <dgm:constr type="ctrY" for="ch" forName="line_7" refType="ctrY" refFor="ch" refForName="picture_7"/>
                <dgm:constr type="r" for="ch" forName="textparent_7" refType="w"/>
                <dgm:constr type="h" for="ch" forName="textparent_7" refType="h" refFor="ch" refForName="picture_7"/>
                <dgm:constr type="l" for="ch" forName="textparent_7" refType="r" refFor="ch" refForName="picture_7"/>
                <dgm:constr type="ctrY" for="ch" forName="textparent_7" refType="ctrY" refFor="ch" refForName="picture_7"/>
                <dgm:constr type="primFontSz" for="des" forName="text_7" refType="primFontSz" refFor="des" refForName="text_2" op="equ"/>
              </dgm:constrLst>
            </dgm:if>
            <dgm:else name="Name27">
              <dgm:constrLst>
                <dgm:constr type="h" for="ch" forName="picture_1" refType="h"/>
                <dgm:constr type="w" for="ch" forName="picture_1" refType="h" refFor="ch" refForName="picture_1" op="equ"/>
                <dgm:constr type="r" for="ch" forName="picture_1" refType="w"/>
                <dgm:constr type="t" for="ch" forName="picture_1"/>
                <dgm:constr type="w" for="ch" forName="text_1" refType="w" refFor="ch" refForName="picture_1" fact="0.64"/>
                <dgm:constr type="h" for="ch" forName="text_1" refType="h" refFor="ch" refForName="picture_1" fact="0.33"/>
                <dgm:constr type="l" for="ch" forName="text_1" refType="l" refFor="ch" refForName="picture_1"/>
                <dgm:constr type="lOff" for="ch" forName="text_1" refType="w" refFor="ch" refForName="picture_1" fact="0.18"/>
                <dgm:constr type="t" for="ch" forName="text_1" refType="h" refFor="ch" refForName="picture_1" fact="0.531"/>
                <dgm:constr type="w" for="ch" forName="picture_2" refType="w" refFor="ch" refForName="picture_1" fact="0.15"/>
                <dgm:constr type="h" for="ch" forName="picture_2" refType="h" refFor="ch" refForName="picture_1" fact="0.15"/>
                <dgm:constr type="r" for="ch" forName="picture_2" refType="w"/>
                <dgm:constr type="rOff" for="ch" forName="picture_2" refType="w" refFor="ch" refForName="picture_1" fact="-1.4363"/>
                <dgm:constr type="ctrY" for="ch" forName="picture_2" refType="h" refFor="ch" refForName="picture_1" fact="0.075"/>
                <dgm:constr type="r" for="ch" forName="line_2" refType="ctrX" refFor="ch" refForName="picture_1"/>
                <dgm:constr type="h" for="ch" forName="line_2"/>
                <dgm:constr type="l" for="ch" forName="line_2" refType="ctrX" refFor="ch" refForName="picture_2"/>
                <dgm:constr type="ctrY" for="ch" forName="line_2" refType="ctrY" refFor="ch" refForName="picture_2"/>
                <dgm:constr type="l" for="ch" forName="textparent_2"/>
                <dgm:constr type="h" for="ch" forName="textparent_2" refType="h" refFor="ch" refForName="picture_2"/>
                <dgm:constr type="r" for="ch" forName="textparent_2" refType="l" refFor="ch" refForName="picture_2"/>
                <dgm:constr type="ctrY" for="ch" forName="textparent_2" refType="ctrY" refFor="ch" refForName="picture_2"/>
                <dgm:constr type="primFontSz" for="des" forName="text_2" val="65"/>
                <dgm:constr type="w" for="ch" forName="picture_3" refType="w" refFor="ch" refForName="picture_1" fact="0.15"/>
                <dgm:constr type="h" for="ch" forName="picture_3" refType="h" refFor="ch" refForName="picture_1" fact="0.15"/>
                <dgm:constr type="r" for="ch" forName="picture_3" refType="w"/>
                <dgm:constr type="rOff" for="ch" forName="picture_3" refType="w" refFor="ch" refForName="picture_1" fact="-1.2898"/>
                <dgm:constr type="ctrY" for="ch" forName="picture_3" refType="h" refFor="ch" refForName="picture_1" fact="0.227"/>
                <dgm:constr type="r" for="ch" forName="line_3" refType="ctrX" refFor="ch" refForName="picture_1"/>
                <dgm:constr type="h" for="ch" forName="line_3"/>
                <dgm:constr type="l" for="ch" forName="line_3" refType="ctrX" refFor="ch" refForName="picture_3"/>
                <dgm:constr type="ctrY" for="ch" forName="line_3" refType="ctrY" refFor="ch" refForName="picture_3"/>
                <dgm:constr type="l" for="ch" forName="textparent_3"/>
                <dgm:constr type="h" for="ch" forName="textparent_3" refType="h" refFor="ch" refForName="picture_3"/>
                <dgm:constr type="r" for="ch" forName="textparent_3" refType="l" refFor="ch" refForName="picture_3"/>
                <dgm:constr type="ctrY" for="ch" forName="textparent_3" refType="ctrY" refFor="ch" refForName="picture_3"/>
                <dgm:constr type="primFontSz" for="des" forName="text_3" refType="primFontSz" refFor="des" refForName="text_2" op="equ"/>
                <dgm:constr type="w" for="ch" forName="picture_4" refType="w" refFor="ch" refForName="picture_1" fact="0.15"/>
                <dgm:constr type="h" for="ch" forName="picture_4" refType="h" refFor="ch" refForName="picture_1" fact="0.15"/>
                <dgm:constr type="r" for="ch" forName="picture_4" refType="w"/>
                <dgm:constr type="rOff" for="ch" forName="picture_4" refType="w" refFor="ch" refForName="picture_1" fact="-1.21"/>
                <dgm:constr type="ctrY" for="ch" forName="picture_4" refType="h" refFor="ch" refForName="picture_1" fact="0.405"/>
                <dgm:constr type="r" for="ch" forName="line_4" refType="ctrX" refFor="ch" refForName="picture_1"/>
                <dgm:constr type="h" for="ch" forName="line_4"/>
                <dgm:constr type="l" for="ch" forName="line_4" refType="ctrX" refFor="ch" refForName="picture_4"/>
                <dgm:constr type="ctrY" for="ch" forName="line_4" refType="ctrY" refFor="ch" refForName="picture_4"/>
                <dgm:constr type="l" for="ch" forName="textparent_4"/>
                <dgm:constr type="h" for="ch" forName="textparent_4" refType="h" refFor="ch" refForName="picture_4"/>
                <dgm:constr type="r" for="ch" forName="textparent_4" refType="l" refFor="ch" refForName="picture_4"/>
                <dgm:constr type="ctrY" for="ch" forName="textparent_4" refType="ctrY" refFor="ch" refForName="picture_4"/>
                <dgm:constr type="primFontSz" for="des" forName="text_4" refType="primFontSz" refFor="des" refForName="text_2" op="equ"/>
                <dgm:constr type="w" for="ch" forName="picture_5" refType="w" refFor="ch" refForName="picture_1" fact="0.15"/>
                <dgm:constr type="h" for="ch" forName="picture_5" refType="h" refFor="ch" refForName="picture_1" fact="0.15"/>
                <dgm:constr type="r" for="ch" forName="picture_5" refType="w"/>
                <dgm:constr type="rOff" for="ch" forName="picture_5" refType="w" refFor="ch" refForName="picture_1" fact="-1.21"/>
                <dgm:constr type="ctrY" for="ch" forName="picture_5" refType="h" refFor="ch" refForName="picture_1" fact="0.595"/>
                <dgm:constr type="r" for="ch" forName="line_5" refType="ctrX" refFor="ch" refForName="picture_1"/>
                <dgm:constr type="h" for="ch" forName="line_5"/>
                <dgm:constr type="l" for="ch" forName="line_5" refType="ctrX" refFor="ch" refForName="picture_5"/>
                <dgm:constr type="ctrY" for="ch" forName="line_5" refType="ctrY" refFor="ch" refForName="picture_5"/>
                <dgm:constr type="l" for="ch" forName="textparent_5"/>
                <dgm:constr type="h" for="ch" forName="textparent_5" refType="h" refFor="ch" refForName="picture_5"/>
                <dgm:constr type="r" for="ch" forName="textparent_5" refType="l" refFor="ch" refForName="picture_5"/>
                <dgm:constr type="ctrY" for="ch" forName="textparent_5" refType="ctrY" refFor="ch" refForName="picture_5"/>
                <dgm:constr type="primFontSz" for="des" forName="text_5" refType="primFontSz" refFor="des" refForName="text_2" op="equ"/>
                <dgm:constr type="w" for="ch" forName="picture_6" refType="w" refFor="ch" refForName="picture_1" fact="0.15"/>
                <dgm:constr type="h" for="ch" forName="picture_6" refType="h" refFor="ch" refForName="picture_1" fact="0.15"/>
                <dgm:constr type="r" for="ch" forName="picture_6" refType="w"/>
                <dgm:constr type="rOff" for="ch" forName="picture_6" refType="w" refFor="ch" refForName="picture_1" fact="-1.2898"/>
                <dgm:constr type="ctrY" for="ch" forName="picture_6" refType="h" refFor="ch" refForName="picture_1" fact="0.773"/>
                <dgm:constr type="r" for="ch" forName="line_6" refType="ctrX" refFor="ch" refForName="picture_1"/>
                <dgm:constr type="h" for="ch" forName="line_6"/>
                <dgm:constr type="l" for="ch" forName="line_6" refType="ctrX" refFor="ch" refForName="picture_6"/>
                <dgm:constr type="ctrY" for="ch" forName="line_6" refType="ctrY" refFor="ch" refForName="picture_6"/>
                <dgm:constr type="l" for="ch" forName="textparent_6"/>
                <dgm:constr type="h" for="ch" forName="textparent_6" refType="h" refFor="ch" refForName="picture_6"/>
                <dgm:constr type="r" for="ch" forName="textparent_6" refType="l" refFor="ch" refForName="picture_6"/>
                <dgm:constr type="ctrY" for="ch" forName="textparent_6" refType="ctrY" refFor="ch" refForName="picture_6"/>
                <dgm:constr type="primFontSz" for="des" forName="text_6" refType="primFontSz" refFor="des" refForName="text_2" op="equ"/>
                <dgm:constr type="w" for="ch" forName="picture_7" refType="w" refFor="ch" refForName="picture_1" fact="0.15"/>
                <dgm:constr type="h" for="ch" forName="picture_7" refType="h" refFor="ch" refForName="picture_1" fact="0.15"/>
                <dgm:constr type="r" for="ch" forName="picture_7" refType="w"/>
                <dgm:constr type="rOff" for="ch" forName="picture_7" refType="w" refFor="ch" refForName="picture_1" fact="-1.4363"/>
                <dgm:constr type="ctrY" for="ch" forName="picture_7" refType="h" refFor="ch" refForName="picture_1" fact="0.925"/>
                <dgm:constr type="r" for="ch" forName="line_7" refType="ctrX" refFor="ch" refForName="picture_1"/>
                <dgm:constr type="h" for="ch" forName="line_7"/>
                <dgm:constr type="l" for="ch" forName="line_7" refType="ctrX" refFor="ch" refForName="picture_7"/>
                <dgm:constr type="ctrY" for="ch" forName="line_7" refType="ctrY" refFor="ch" refForName="picture_7"/>
                <dgm:constr type="l" for="ch" forName="textparent_7"/>
                <dgm:constr type="h" for="ch" forName="textparent_7" refType="h" refFor="ch" refForName="picture_7"/>
                <dgm:constr type="r" for="ch" forName="textparent_7" refType="l" refFor="ch" refForName="picture_7"/>
                <dgm:constr type="ctrY" for="ch" forName="textparent_7" refType="ctrY" refFor="ch" refForName="picture_7"/>
                <dgm:constr type="primFontSz" for="des" forName="text_7" refType="primFontSz" refFor="des" refForName="text_2" op="equ"/>
              </dgm:constrLst>
            </dgm:else>
          </dgm:choose>
        </dgm:else>
      </dgm:choose>
      <dgm:forEach name="wrapper" axis="self" ptType="parTrans">
        <dgm:forEach name="wrapper2" axis="self" ptType="sibTrans" st="2">
          <dgm:forEach name="pictureRepeat" axis="self">
            <dgm:layoutNode name="pictureRepeatNode" styleLbl="alignImgPlace1">
              <dgm:alg type="sp"/>
              <dgm:shape xmlns:r="http://schemas.openxmlformats.org/officeDocument/2006/relationships" type="ellipse" r:blip="" blipPhldr="1">
                <dgm:adjLst/>
              </dgm:shape>
              <dgm:presOf axis="self"/>
            </dgm:layoutNode>
          </dgm:forEach>
        </dgm:forEach>
      </dgm:forEach>
      <dgm:forEach name="Name28" axis="ch" ptType="sibTrans" hideLastTrans="0" cnt="1">
        <dgm:layoutNode name="picture_1">
          <dgm:alg type="sp"/>
          <dgm:shape xmlns:r="http://schemas.openxmlformats.org/officeDocument/2006/relationships" r:blip="">
            <dgm:adjLst/>
          </dgm:shape>
          <dgm:presOf/>
          <dgm:constrLst/>
          <dgm:forEach name="Name29" ref="pictureRepeat"/>
        </dgm:layoutNode>
      </dgm:forEach>
      <dgm:forEach name="Name30" axis="ch" ptType="node" cnt="1">
        <dgm:layoutNode name="text_1" styleLbl="node1">
          <dgm:varLst>
            <dgm:bulletEnabled val="1"/>
          </dgm:varLst>
          <dgm:alg type="tx">
            <dgm:param type="txAnchorVert" val="b"/>
            <dgm:param type="txAnchorVertCh" val="b"/>
            <dgm:param type="parTxRTLAlign" val="r"/>
            <dgm:param type="shpTxRTLAlignCh" val="r"/>
          </dgm:alg>
          <dgm:shape xmlns:r="http://schemas.openxmlformats.org/officeDocument/2006/relationships" type="rect" r:blip="" hideGeom="1">
            <dgm:adjLst/>
          </dgm:shape>
          <dgm:presOf axis="desOrSelf" ptType="node"/>
          <dgm:constrLst>
            <dgm:constr type="primFontSz" val="65"/>
            <dgm:constr type="lMarg"/>
            <dgm:constr type="rMarg"/>
            <dgm:constr type="tMarg"/>
            <dgm:constr type="bMarg"/>
          </dgm:constrLst>
          <dgm:ruleLst>
            <dgm:rule type="primFontSz" val="5" fact="NaN" max="NaN"/>
          </dgm:ruleLst>
        </dgm:layoutNode>
      </dgm:forEach>
      <dgm:forEach name="Name31" axis="ch" ptType="sibTrans" hideLastTrans="0" st="2" cnt="1">
        <dgm:layoutNode name="picture_2">
          <dgm:alg type="sp"/>
          <dgm:shape xmlns:r="http://schemas.openxmlformats.org/officeDocument/2006/relationships" r:blip="">
            <dgm:adjLst/>
          </dgm:shape>
          <dgm:presOf/>
          <dgm:constrLst/>
          <dgm:forEach name="Name32" ref="pictureRepeat"/>
        </dgm:layoutNode>
      </dgm:forEach>
      <dgm:forEach name="Name33" axis="ch" ptType="node" st="2" cnt="1">
        <dgm:layoutNode name="line_2" styleLbl="parChTrans1D1">
          <dgm:alg type="sp"/>
          <dgm:shape xmlns:r="http://schemas.openxmlformats.org/officeDocument/2006/relationships" type="line" r:blip="" zOrderOff="-100">
            <dgm:adjLst/>
          </dgm:shape>
          <dgm:presOf/>
        </dgm:layoutNode>
        <dgm:layoutNode name="textparent_2">
          <dgm:choose name="Name34">
            <dgm:if name="Name35" func="var" arg="dir" op="equ" val="norm">
              <dgm:alg type="lin">
                <dgm:param type="horzAlign" val="l"/>
              </dgm:alg>
            </dgm:if>
            <dgm:else name="Name36">
              <dgm:alg type="lin">
                <dgm:param type="horzAlign" val="r"/>
              </dgm:alg>
            </dgm:else>
          </dgm:choose>
          <dgm:shape xmlns:r="http://schemas.openxmlformats.org/officeDocument/2006/relationships" type="rect" r:blip="" hideGeom="1">
            <dgm:adjLst/>
          </dgm:shape>
          <dgm:constrLst>
            <dgm:constr type="userW" for="ch" forName="text_2" refType="w"/>
            <dgm:constr type="h" for="ch" forName="text_2" refType="h"/>
          </dgm:constrLst>
          <dgm:presOf/>
          <dgm:layoutNode name="text_2" styleLbl="revTx">
            <dgm:varLst>
              <dgm:bulletEnabled val="1"/>
            </dgm:varLst>
            <dgm:choose name="Name37">
              <dgm:if name="Name38" func="var" arg="dir" op="equ" val="norm">
                <dgm:alg type="tx">
                  <dgm:param type="parTxLTRAlign" val="l"/>
                  <dgm:param type="shpTxLTRAlignCh" val="l"/>
                  <dgm:param type="parTxRTLAlign" val="r"/>
                  <dgm:param type="shpTxRTLAlignCh" val="r"/>
                </dgm:alg>
              </dgm:if>
              <dgm:else name="Name39">
                <dgm:alg type="tx">
                  <dgm:param type="parTxLTRAlign" val="r"/>
                  <dgm:param type="shpTxLTRAlignCh" val="r"/>
                  <dgm:param type="parTxRTLAlign" val="r"/>
                  <dgm:param type="shpTxRTLAlignCh" val="r"/>
                </dgm:alg>
              </dgm:else>
            </dgm:choose>
            <dgm:shape xmlns:r="http://schemas.openxmlformats.org/officeDocument/2006/relationships" type="rect" r:blip="">
              <dgm:adjLst/>
            </dgm:shape>
            <dgm:presOf axis="desOrSelf" ptType="node"/>
            <dgm:constrLst>
              <dgm:constr type="userW"/>
              <dgm:constr type="w" refType="userW" fact="0.1"/>
              <dgm:constr type="lMarg" refType="primFontSz" fact="0.3"/>
              <dgm:constr type="rMarg" refType="primFontSz" fact="0.3"/>
              <dgm:constr type="tMarg"/>
              <dgm:constr type="bMarg"/>
            </dgm:constrLst>
            <dgm:ruleLst>
              <dgm:rule type="w" val="NaN" fact="1" max="NaN"/>
              <dgm:rule type="primFontSz" val="5" fact="NaN" max="NaN"/>
            </dgm:ruleLst>
          </dgm:layoutNode>
        </dgm:layoutNode>
      </dgm:forEach>
      <dgm:forEach name="Name40" axis="ch" ptType="sibTrans" hideLastTrans="0" st="3" cnt="1">
        <dgm:layoutNode name="picture_3">
          <dgm:alg type="sp"/>
          <dgm:shape xmlns:r="http://schemas.openxmlformats.org/officeDocument/2006/relationships" r:blip="">
            <dgm:adjLst/>
          </dgm:shape>
          <dgm:presOf/>
          <dgm:constrLst/>
          <dgm:forEach name="Name41" ref="pictureRepeat"/>
        </dgm:layoutNode>
      </dgm:forEach>
      <dgm:forEach name="Name42" axis="ch" ptType="node" st="3" cnt="1">
        <dgm:layoutNode name="line_3" styleLbl="parChTrans1D1">
          <dgm:alg type="sp"/>
          <dgm:shape xmlns:r="http://schemas.openxmlformats.org/officeDocument/2006/relationships" type="line" r:blip="" zOrderOff="-100">
            <dgm:adjLst/>
          </dgm:shape>
          <dgm:presOf/>
        </dgm:layoutNode>
        <dgm:layoutNode name="textparent_3">
          <dgm:choose name="Name43">
            <dgm:if name="Name44" func="var" arg="dir" op="equ" val="norm">
              <dgm:alg type="lin">
                <dgm:param type="horzAlign" val="l"/>
              </dgm:alg>
            </dgm:if>
            <dgm:else name="Name45">
              <dgm:alg type="lin">
                <dgm:param type="horzAlign" val="r"/>
              </dgm:alg>
            </dgm:else>
          </dgm:choose>
          <dgm:shape xmlns:r="http://schemas.openxmlformats.org/officeDocument/2006/relationships" type="rect" r:blip="" hideGeom="1">
            <dgm:adjLst/>
          </dgm:shape>
          <dgm:constrLst>
            <dgm:constr type="userW" for="ch" forName="text_3" refType="w"/>
            <dgm:constr type="h" for="ch" forName="text_3" refType="h"/>
          </dgm:constrLst>
          <dgm:presOf/>
          <dgm:layoutNode name="text_3" styleLbl="revTx">
            <dgm:varLst>
              <dgm:bulletEnabled val="1"/>
            </dgm:varLst>
            <dgm:choose name="Name46">
              <dgm:if name="Name47" func="var" arg="dir" op="equ" val="norm">
                <dgm:alg type="tx">
                  <dgm:param type="parTxLTRAlign" val="l"/>
                  <dgm:param type="shpTxLTRAlignCh" val="l"/>
                  <dgm:param type="parTxRTLAlign" val="r"/>
                  <dgm:param type="shpTxRTLAlignCh" val="r"/>
                </dgm:alg>
              </dgm:if>
              <dgm:else name="Name48">
                <dgm:alg type="tx">
                  <dgm:param type="parTxLTRAlign" val="r"/>
                  <dgm:param type="shpTxLTRAlignCh" val="r"/>
                  <dgm:param type="parTxRTLAlign" val="r"/>
                  <dgm:param type="shpTxRTLAlignCh" val="r"/>
                </dgm:alg>
              </dgm:else>
            </dgm:choose>
            <dgm:shape xmlns:r="http://schemas.openxmlformats.org/officeDocument/2006/relationships" type="rect" r:blip="">
              <dgm:adjLst/>
            </dgm:shape>
            <dgm:presOf axis="desOrSelf" ptType="node"/>
            <dgm:constrLst>
              <dgm:constr type="userW"/>
              <dgm:constr type="w" refType="userW" fact="0.1"/>
              <dgm:constr type="lMarg" refType="primFontSz" fact="0.3"/>
              <dgm:constr type="rMarg" refType="primFontSz" fact="0.3"/>
              <dgm:constr type="tMarg"/>
              <dgm:constr type="bMarg"/>
            </dgm:constrLst>
            <dgm:ruleLst>
              <dgm:rule type="w" val="NaN" fact="1" max="NaN"/>
              <dgm:rule type="primFontSz" val="5" fact="NaN" max="NaN"/>
            </dgm:ruleLst>
          </dgm:layoutNode>
        </dgm:layoutNode>
      </dgm:forEach>
      <dgm:forEach name="Name49" axis="ch" ptType="sibTrans" hideLastTrans="0" st="4" cnt="1">
        <dgm:layoutNode name="picture_4">
          <dgm:alg type="sp"/>
          <dgm:shape xmlns:r="http://schemas.openxmlformats.org/officeDocument/2006/relationships" r:blip="">
            <dgm:adjLst/>
          </dgm:shape>
          <dgm:presOf/>
          <dgm:constrLst/>
          <dgm:forEach name="Name50" ref="pictureRepeat"/>
        </dgm:layoutNode>
      </dgm:forEach>
      <dgm:forEach name="Name51" axis="ch" ptType="node" st="4" cnt="1">
        <dgm:layoutNode name="line_4" styleLbl="parChTrans1D1">
          <dgm:alg type="sp"/>
          <dgm:shape xmlns:r="http://schemas.openxmlformats.org/officeDocument/2006/relationships" type="line" r:blip="" zOrderOff="-100">
            <dgm:adjLst/>
          </dgm:shape>
          <dgm:presOf/>
        </dgm:layoutNode>
        <dgm:layoutNode name="textparent_4">
          <dgm:choose name="Name52">
            <dgm:if name="Name53" func="var" arg="dir" op="equ" val="norm">
              <dgm:alg type="lin">
                <dgm:param type="horzAlign" val="l"/>
              </dgm:alg>
            </dgm:if>
            <dgm:else name="Name54">
              <dgm:alg type="lin">
                <dgm:param type="horzAlign" val="r"/>
              </dgm:alg>
            </dgm:else>
          </dgm:choose>
          <dgm:shape xmlns:r="http://schemas.openxmlformats.org/officeDocument/2006/relationships" type="rect" r:blip="" hideGeom="1">
            <dgm:adjLst/>
          </dgm:shape>
          <dgm:constrLst>
            <dgm:constr type="userW" for="ch" forName="text_4" refType="w"/>
            <dgm:constr type="h" for="ch" forName="text_4" refType="h"/>
          </dgm:constrLst>
          <dgm:presOf/>
          <dgm:layoutNode name="text_4" styleLbl="revTx">
            <dgm:varLst>
              <dgm:bulletEnabled val="1"/>
            </dgm:varLst>
            <dgm:choose name="Name55">
              <dgm:if name="Name56" func="var" arg="dir" op="equ" val="norm">
                <dgm:alg type="tx">
                  <dgm:param type="parTxLTRAlign" val="l"/>
                  <dgm:param type="shpTxLTRAlignCh" val="l"/>
                  <dgm:param type="parTxRTLAlign" val="r"/>
                  <dgm:param type="shpTxRTLAlignCh" val="r"/>
                </dgm:alg>
              </dgm:if>
              <dgm:else name="Name57">
                <dgm:alg type="tx">
                  <dgm:param type="parTxLTRAlign" val="r"/>
                  <dgm:param type="shpTxLTRAlignCh" val="r"/>
                  <dgm:param type="parTxRTLAlign" val="r"/>
                  <dgm:param type="shpTxRTLAlignCh" val="r"/>
                </dgm:alg>
              </dgm:else>
            </dgm:choose>
            <dgm:shape xmlns:r="http://schemas.openxmlformats.org/officeDocument/2006/relationships" type="rect" r:blip="">
              <dgm:adjLst/>
            </dgm:shape>
            <dgm:presOf axis="desOrSelf" ptType="node"/>
            <dgm:constrLst>
              <dgm:constr type="userW"/>
              <dgm:constr type="w" refType="userW" fact="0.1"/>
              <dgm:constr type="lMarg" refType="primFontSz" fact="0.3"/>
              <dgm:constr type="rMarg" refType="primFontSz" fact="0.3"/>
              <dgm:constr type="tMarg"/>
              <dgm:constr type="bMarg"/>
            </dgm:constrLst>
            <dgm:ruleLst>
              <dgm:rule type="w" val="NaN" fact="1" max="NaN"/>
              <dgm:rule type="primFontSz" val="5" fact="NaN" max="NaN"/>
            </dgm:ruleLst>
          </dgm:layoutNode>
        </dgm:layoutNode>
      </dgm:forEach>
      <dgm:forEach name="Name58" axis="ch" ptType="sibTrans" hideLastTrans="0" st="5" cnt="1">
        <dgm:layoutNode name="picture_5">
          <dgm:alg type="sp"/>
          <dgm:shape xmlns:r="http://schemas.openxmlformats.org/officeDocument/2006/relationships" r:blip="">
            <dgm:adjLst/>
          </dgm:shape>
          <dgm:presOf/>
          <dgm:constrLst/>
          <dgm:forEach name="Name59" ref="pictureRepeat"/>
        </dgm:layoutNode>
      </dgm:forEach>
      <dgm:forEach name="Name60" axis="ch" ptType="node" st="5" cnt="1">
        <dgm:layoutNode name="line_5" styleLbl="parChTrans1D1">
          <dgm:alg type="sp"/>
          <dgm:shape xmlns:r="http://schemas.openxmlformats.org/officeDocument/2006/relationships" type="line" r:blip="" zOrderOff="-100">
            <dgm:adjLst/>
          </dgm:shape>
          <dgm:presOf/>
        </dgm:layoutNode>
        <dgm:layoutNode name="textparent_5">
          <dgm:choose name="Name61">
            <dgm:if name="Name62" func="var" arg="dir" op="equ" val="norm">
              <dgm:alg type="lin">
                <dgm:param type="horzAlign" val="l"/>
              </dgm:alg>
            </dgm:if>
            <dgm:else name="Name63">
              <dgm:alg type="lin">
                <dgm:param type="horzAlign" val="r"/>
              </dgm:alg>
            </dgm:else>
          </dgm:choose>
          <dgm:shape xmlns:r="http://schemas.openxmlformats.org/officeDocument/2006/relationships" type="rect" r:blip="" hideGeom="1">
            <dgm:adjLst/>
          </dgm:shape>
          <dgm:constrLst>
            <dgm:constr type="userW" for="ch" forName="text_5" refType="w"/>
            <dgm:constr type="h" for="ch" forName="text_5" refType="h"/>
          </dgm:constrLst>
          <dgm:presOf/>
          <dgm:layoutNode name="text_5" styleLbl="revTx">
            <dgm:varLst>
              <dgm:bulletEnabled val="1"/>
            </dgm:varLst>
            <dgm:choose name="Name64">
              <dgm:if name="Name65" func="var" arg="dir" op="equ" val="norm">
                <dgm:alg type="tx">
                  <dgm:param type="parTxLTRAlign" val="l"/>
                  <dgm:param type="shpTxLTRAlignCh" val="l"/>
                  <dgm:param type="parTxRTLAlign" val="r"/>
                  <dgm:param type="shpTxRTLAlignCh" val="r"/>
                </dgm:alg>
              </dgm:if>
              <dgm:else name="Name66">
                <dgm:alg type="tx">
                  <dgm:param type="parTxLTRAlign" val="r"/>
                  <dgm:param type="shpTxLTRAlignCh" val="r"/>
                  <dgm:param type="parTxRTLAlign" val="r"/>
                  <dgm:param type="shpTxRTLAlignCh" val="r"/>
                </dgm:alg>
              </dgm:else>
            </dgm:choose>
            <dgm:shape xmlns:r="http://schemas.openxmlformats.org/officeDocument/2006/relationships" type="rect" r:blip="">
              <dgm:adjLst/>
            </dgm:shape>
            <dgm:presOf axis="desOrSelf" ptType="node"/>
            <dgm:constrLst>
              <dgm:constr type="userW"/>
              <dgm:constr type="w" refType="userW" fact="0.1"/>
              <dgm:constr type="lMarg" refType="primFontSz" fact="0.3"/>
              <dgm:constr type="rMarg" refType="primFontSz" fact="0.3"/>
              <dgm:constr type="tMarg"/>
              <dgm:constr type="bMarg"/>
            </dgm:constrLst>
            <dgm:ruleLst>
              <dgm:rule type="w" val="NaN" fact="1" max="NaN"/>
              <dgm:rule type="primFontSz" val="5" fact="NaN" max="NaN"/>
            </dgm:ruleLst>
          </dgm:layoutNode>
        </dgm:layoutNode>
      </dgm:forEach>
      <dgm:forEach name="Name67" axis="ch" ptType="sibTrans" hideLastTrans="0" st="6" cnt="1">
        <dgm:layoutNode name="picture_6">
          <dgm:alg type="sp"/>
          <dgm:shape xmlns:r="http://schemas.openxmlformats.org/officeDocument/2006/relationships" r:blip="">
            <dgm:adjLst/>
          </dgm:shape>
          <dgm:presOf/>
          <dgm:constrLst/>
          <dgm:forEach name="Name68" ref="pictureRepeat"/>
        </dgm:layoutNode>
      </dgm:forEach>
      <dgm:forEach name="Name69" axis="ch" ptType="node" st="6" cnt="1">
        <dgm:layoutNode name="line_6" styleLbl="parChTrans1D1">
          <dgm:alg type="sp"/>
          <dgm:shape xmlns:r="http://schemas.openxmlformats.org/officeDocument/2006/relationships" type="line" r:blip="" zOrderOff="-100">
            <dgm:adjLst/>
          </dgm:shape>
          <dgm:presOf/>
        </dgm:layoutNode>
        <dgm:layoutNode name="textparent_6">
          <dgm:choose name="Name70">
            <dgm:if name="Name71" func="var" arg="dir" op="equ" val="norm">
              <dgm:alg type="lin">
                <dgm:param type="horzAlign" val="l"/>
              </dgm:alg>
            </dgm:if>
            <dgm:else name="Name72">
              <dgm:alg type="lin">
                <dgm:param type="horzAlign" val="r"/>
              </dgm:alg>
            </dgm:else>
          </dgm:choose>
          <dgm:shape xmlns:r="http://schemas.openxmlformats.org/officeDocument/2006/relationships" type="rect" r:blip="" hideGeom="1">
            <dgm:adjLst/>
          </dgm:shape>
          <dgm:constrLst>
            <dgm:constr type="userW" for="ch" forName="text_6" refType="w"/>
            <dgm:constr type="h" for="ch" forName="text_6" refType="h"/>
          </dgm:constrLst>
          <dgm:presOf/>
          <dgm:layoutNode name="text_6" styleLbl="revTx">
            <dgm:varLst>
              <dgm:bulletEnabled val="1"/>
            </dgm:varLst>
            <dgm:choose name="Name73">
              <dgm:if name="Name74" func="var" arg="dir" op="equ" val="norm">
                <dgm:alg type="tx">
                  <dgm:param type="parTxLTRAlign" val="l"/>
                  <dgm:param type="shpTxLTRAlignCh" val="l"/>
                  <dgm:param type="parTxRTLAlign" val="r"/>
                  <dgm:param type="shpTxRTLAlignCh" val="r"/>
                </dgm:alg>
              </dgm:if>
              <dgm:else name="Name75">
                <dgm:alg type="tx">
                  <dgm:param type="parTxLTRAlign" val="r"/>
                  <dgm:param type="shpTxLTRAlignCh" val="r"/>
                  <dgm:param type="parTxRTLAlign" val="r"/>
                  <dgm:param type="shpTxRTLAlignCh" val="r"/>
                </dgm:alg>
              </dgm:else>
            </dgm:choose>
            <dgm:shape xmlns:r="http://schemas.openxmlformats.org/officeDocument/2006/relationships" type="rect" r:blip="">
              <dgm:adjLst/>
            </dgm:shape>
            <dgm:presOf axis="desOrSelf" ptType="node"/>
            <dgm:constrLst>
              <dgm:constr type="userW"/>
              <dgm:constr type="w" refType="userW" fact="0.1"/>
              <dgm:constr type="lMarg" refType="primFontSz" fact="0.3"/>
              <dgm:constr type="rMarg" refType="primFontSz" fact="0.3"/>
              <dgm:constr type="tMarg"/>
              <dgm:constr type="bMarg"/>
            </dgm:constrLst>
            <dgm:ruleLst>
              <dgm:rule type="w" val="NaN" fact="1" max="NaN"/>
              <dgm:rule type="primFontSz" val="5" fact="NaN" max="NaN"/>
            </dgm:ruleLst>
          </dgm:layoutNode>
        </dgm:layoutNode>
      </dgm:forEach>
      <dgm:forEach name="Name76" axis="ch" ptType="sibTrans" hideLastTrans="0" st="7" cnt="1">
        <dgm:layoutNode name="picture_7">
          <dgm:alg type="sp"/>
          <dgm:shape xmlns:r="http://schemas.openxmlformats.org/officeDocument/2006/relationships" r:blip="">
            <dgm:adjLst/>
          </dgm:shape>
          <dgm:presOf/>
          <dgm:constrLst/>
          <dgm:forEach name="Name77" ref="pictureRepeat"/>
        </dgm:layoutNode>
      </dgm:forEach>
      <dgm:forEach name="Name78" axis="ch" ptType="node" st="7" cnt="1">
        <dgm:layoutNode name="line_7" styleLbl="parChTrans1D1">
          <dgm:alg type="sp"/>
          <dgm:shape xmlns:r="http://schemas.openxmlformats.org/officeDocument/2006/relationships" type="line" r:blip="" zOrderOff="-100">
            <dgm:adjLst/>
          </dgm:shape>
          <dgm:presOf/>
        </dgm:layoutNode>
        <dgm:layoutNode name="textparent_7">
          <dgm:choose name="Name79">
            <dgm:if name="Name80" func="var" arg="dir" op="equ" val="norm">
              <dgm:alg type="lin">
                <dgm:param type="horzAlign" val="l"/>
              </dgm:alg>
            </dgm:if>
            <dgm:else name="Name81">
              <dgm:alg type="lin">
                <dgm:param type="horzAlign" val="r"/>
              </dgm:alg>
            </dgm:else>
          </dgm:choose>
          <dgm:shape xmlns:r="http://schemas.openxmlformats.org/officeDocument/2006/relationships" type="rect" r:blip="" hideGeom="1">
            <dgm:adjLst/>
          </dgm:shape>
          <dgm:constrLst>
            <dgm:constr type="userW" for="ch" forName="text_7" refType="w"/>
            <dgm:constr type="h" for="ch" forName="text_7" refType="h"/>
          </dgm:constrLst>
          <dgm:presOf/>
          <dgm:layoutNode name="text_7" styleLbl="revTx">
            <dgm:varLst>
              <dgm:bulletEnabled val="1"/>
            </dgm:varLst>
            <dgm:choose name="Name82">
              <dgm:if name="Name83" func="var" arg="dir" op="equ" val="norm">
                <dgm:alg type="tx">
                  <dgm:param type="parTxLTRAlign" val="l"/>
                  <dgm:param type="shpTxLTRAlignCh" val="l"/>
                  <dgm:param type="parTxRTLAlign" val="r"/>
                  <dgm:param type="shpTxRTLAlignCh" val="r"/>
                </dgm:alg>
              </dgm:if>
              <dgm:else name="Name84">
                <dgm:alg type="tx">
                  <dgm:param type="parTxLTRAlign" val="r"/>
                  <dgm:param type="shpTxLTRAlignCh" val="r"/>
                  <dgm:param type="parTxRTLAlign" val="r"/>
                  <dgm:param type="shpTxRTLAlignCh" val="r"/>
                </dgm:alg>
              </dgm:else>
            </dgm:choose>
            <dgm:shape xmlns:r="http://schemas.openxmlformats.org/officeDocument/2006/relationships" type="rect" r:blip="">
              <dgm:adjLst/>
            </dgm:shape>
            <dgm:presOf axis="desOrSelf" ptType="node"/>
            <dgm:constrLst>
              <dgm:constr type="userW"/>
              <dgm:constr type="w" refType="userW" fact="0.1"/>
              <dgm:constr type="lMarg" refType="primFontSz" fact="0.3"/>
              <dgm:constr type="rMarg" refType="primFontSz" fact="0.3"/>
              <dgm:constr type="tMarg"/>
              <dgm:constr type="bMarg"/>
            </dgm:constrLst>
            <dgm:ruleLst>
              <dgm:rule type="w" val="NaN" fact="1" max="NaN"/>
              <dgm:rule type="primFontSz" val="5" fact="NaN" max="NaN"/>
            </dgm:ruleLst>
          </dgm:layoutNode>
        </dgm:layoutNode>
      </dgm:forEach>
    </dgm:layoutNode>
  </dgm:layoutNode>
</dgm:layoutDef>
</file>

<file path=xl/diagrams/quickStyle1.xml><?xml version="1.0" encoding="utf-8"?>
<dgm:styleDef xmlns:dgm="http://schemas.openxmlformats.org/drawingml/2006/diagram" xmlns:a="http://schemas.openxmlformats.org/drawingml/2006/main" uniqueId="urn:microsoft.com/office/officeart/2005/8/quickstyle/simple1">
  <dgm:title val=""/>
  <dgm:desc val=""/>
  <dgm:catLst>
    <dgm:cat type="simple" pri="10100"/>
  </dgm:catLst>
  <dgm:scene3d>
    <a:camera prst="orthographicFront"/>
    <a:lightRig rig="threePt" dir="t"/>
  </dgm:scene3d>
  <dgm:styleLbl name="node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l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ven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tx1"/>
      </a:fontRef>
    </dgm:style>
  </dgm:styleLbl>
  <dgm:styleLbl name="alig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fg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fg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bg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sibTrans1D1">
    <dgm:scene3d>
      <a:camera prst="orthographicFront"/>
      <a:lightRig rig="threePt" dir="t"/>
    </dgm:scene3d>
    <dgm:sp3d/>
    <dgm:txPr/>
    <dgm:style>
      <a:lnRef idx="1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callout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sst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1D1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2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3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4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con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trAlignAcc1">
    <dgm:scene3d>
      <a:camera prst="orthographicFront"/>
      <a:lightRig rig="threePt" dir="t"/>
    </dgm:scene3d>
    <dgm:sp3d/>
    <dgm:txPr/>
    <dgm:style>
      <a:lnRef idx="1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Align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B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dk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tr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Shp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revTx">
    <dgm:scene3d>
      <a:camera prst="orthographicFront"/>
      <a:lightRig rig="threePt" dir="t"/>
    </dgm:scene3d>
    <dgm:sp3d/>
    <dgm:txPr/>
    <dgm:style>
      <a:lnRef idx="0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</dgm:styleDef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7.png"/><Relationship Id="rId13" Type="http://schemas.openxmlformats.org/officeDocument/2006/relationships/image" Target="../media/image12.png"/><Relationship Id="rId18" Type="http://schemas.openxmlformats.org/officeDocument/2006/relationships/diagramQuickStyle" Target="../diagrams/quickStyle1.xml"/><Relationship Id="rId3" Type="http://schemas.microsoft.com/office/2007/relationships/hdphoto" Target="../media/hdphoto1.wdp"/><Relationship Id="rId7" Type="http://schemas.openxmlformats.org/officeDocument/2006/relationships/image" Target="../media/image6.png"/><Relationship Id="rId12" Type="http://schemas.openxmlformats.org/officeDocument/2006/relationships/image" Target="../media/image11.png"/><Relationship Id="rId17" Type="http://schemas.openxmlformats.org/officeDocument/2006/relationships/diagramLayout" Target="../diagrams/layout1.xml"/><Relationship Id="rId2" Type="http://schemas.openxmlformats.org/officeDocument/2006/relationships/image" Target="../media/image2.png"/><Relationship Id="rId16" Type="http://schemas.openxmlformats.org/officeDocument/2006/relationships/diagramData" Target="../diagrams/data1.xml"/><Relationship Id="rId20" Type="http://schemas.microsoft.com/office/2007/relationships/diagramDrawing" Target="../diagrams/drawing1.xml"/><Relationship Id="rId1" Type="http://schemas.openxmlformats.org/officeDocument/2006/relationships/image" Target="../media/image1.png"/><Relationship Id="rId6" Type="http://schemas.openxmlformats.org/officeDocument/2006/relationships/image" Target="../media/image5.png"/><Relationship Id="rId11" Type="http://schemas.openxmlformats.org/officeDocument/2006/relationships/image" Target="../media/image10.png"/><Relationship Id="rId5" Type="http://schemas.openxmlformats.org/officeDocument/2006/relationships/image" Target="../media/image4.png"/><Relationship Id="rId15" Type="http://schemas.openxmlformats.org/officeDocument/2006/relationships/image" Target="../media/image13.png"/><Relationship Id="rId10" Type="http://schemas.openxmlformats.org/officeDocument/2006/relationships/image" Target="../media/image9.png"/><Relationship Id="rId19" Type="http://schemas.openxmlformats.org/officeDocument/2006/relationships/diagramColors" Target="../diagrams/colors1.xml"/><Relationship Id="rId4" Type="http://schemas.openxmlformats.org/officeDocument/2006/relationships/image" Target="../media/image3.png"/><Relationship Id="rId9" Type="http://schemas.openxmlformats.org/officeDocument/2006/relationships/image" Target="../media/image8.png"/><Relationship Id="rId14" Type="http://schemas.openxmlformats.org/officeDocument/2006/relationships/hyperlink" Target="#Plano_Estat&#237;stico_2018_HJB!A499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17.png"/><Relationship Id="rId2" Type="http://schemas.openxmlformats.org/officeDocument/2006/relationships/image" Target="../media/image16.png"/><Relationship Id="rId1" Type="http://schemas.openxmlformats.org/officeDocument/2006/relationships/image" Target="../media/image15.png"/><Relationship Id="rId4" Type="http://schemas.openxmlformats.org/officeDocument/2006/relationships/image" Target="../media/image18.png"/></Relationships>
</file>

<file path=xl/drawings/_rels/drawing3.xml.rels><?xml version="1.0" encoding="UTF-8" standalone="yes"?>
<Relationships xmlns="http://schemas.openxmlformats.org/package/2006/relationships"><Relationship Id="rId8" Type="http://schemas.openxmlformats.org/officeDocument/2006/relationships/image" Target="../media/image17.png"/><Relationship Id="rId3" Type="http://schemas.openxmlformats.org/officeDocument/2006/relationships/chart" Target="../charts/chart3.xml"/><Relationship Id="rId7" Type="http://schemas.openxmlformats.org/officeDocument/2006/relationships/image" Target="../media/image15.png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image" Target="../media/image20.png"/><Relationship Id="rId5" Type="http://schemas.openxmlformats.org/officeDocument/2006/relationships/image" Target="../media/image19.png"/><Relationship Id="rId4" Type="http://schemas.openxmlformats.org/officeDocument/2006/relationships/chart" Target="../charts/chart4.xml"/></Relationships>
</file>

<file path=xl/drawings/_rels/drawing4.xml.rels><?xml version="1.0" encoding="UTF-8" standalone="yes"?>
<Relationships xmlns="http://schemas.openxmlformats.org/package/2006/relationships"><Relationship Id="rId8" Type="http://schemas.openxmlformats.org/officeDocument/2006/relationships/image" Target="../media/image17.png"/><Relationship Id="rId3" Type="http://schemas.openxmlformats.org/officeDocument/2006/relationships/chart" Target="../charts/chart7.xml"/><Relationship Id="rId7" Type="http://schemas.openxmlformats.org/officeDocument/2006/relationships/image" Target="../media/image15.png"/><Relationship Id="rId2" Type="http://schemas.openxmlformats.org/officeDocument/2006/relationships/chart" Target="../charts/chart6.xml"/><Relationship Id="rId1" Type="http://schemas.openxmlformats.org/officeDocument/2006/relationships/chart" Target="../charts/chart5.xml"/><Relationship Id="rId6" Type="http://schemas.openxmlformats.org/officeDocument/2006/relationships/image" Target="../media/image22.png"/><Relationship Id="rId5" Type="http://schemas.openxmlformats.org/officeDocument/2006/relationships/image" Target="../media/image21.png"/><Relationship Id="rId4" Type="http://schemas.openxmlformats.org/officeDocument/2006/relationships/chart" Target="../charts/chart8.xml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image" Target="../media/image24.png"/><Relationship Id="rId2" Type="http://schemas.openxmlformats.org/officeDocument/2006/relationships/image" Target="../media/image23.png"/><Relationship Id="rId1" Type="http://schemas.openxmlformats.org/officeDocument/2006/relationships/chart" Target="../charts/chart9.xml"/><Relationship Id="rId5" Type="http://schemas.openxmlformats.org/officeDocument/2006/relationships/image" Target="../media/image17.png"/><Relationship Id="rId4" Type="http://schemas.openxmlformats.org/officeDocument/2006/relationships/image" Target="../media/image15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304800</xdr:colOff>
      <xdr:row>12</xdr:row>
      <xdr:rowOff>228600</xdr:rowOff>
    </xdr:from>
    <xdr:to>
      <xdr:col>15</xdr:col>
      <xdr:colOff>638175</xdr:colOff>
      <xdr:row>22</xdr:row>
      <xdr:rowOff>28575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772275" y="2057400"/>
          <a:ext cx="1704975" cy="1704975"/>
        </a:xfrm>
        <a:prstGeom prst="rect">
          <a:avLst/>
        </a:prstGeom>
      </xdr:spPr>
    </xdr:pic>
    <xdr:clientData/>
  </xdr:twoCellAnchor>
  <xdr:twoCellAnchor editAs="oneCell">
    <xdr:from>
      <xdr:col>14</xdr:col>
      <xdr:colOff>76200</xdr:colOff>
      <xdr:row>5</xdr:row>
      <xdr:rowOff>66675</xdr:rowOff>
    </xdr:from>
    <xdr:to>
      <xdr:col>15</xdr:col>
      <xdr:colOff>523875</xdr:colOff>
      <xdr:row>10</xdr:row>
      <xdr:rowOff>209550</xdr:rowOff>
    </xdr:to>
    <xdr:pic>
      <xdr:nvPicPr>
        <xdr:cNvPr id="4" name="Imagem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BEBA8EAE-BF5A-486C-A8C5-ECC9F3942E4B}">
              <a14:imgProps xmlns:a14="http://schemas.microsoft.com/office/drawing/2010/main">
                <a14:imgLayer r:embed="rId3">
                  <a14:imgEffect>
                    <a14:backgroundRemoval t="0" b="100000" l="0" r="1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229475" y="371475"/>
          <a:ext cx="1133475" cy="1133475"/>
        </a:xfrm>
        <a:prstGeom prst="rect">
          <a:avLst/>
        </a:prstGeom>
        <a:solidFill>
          <a:schemeClr val="bg1"/>
        </a:solidFill>
      </xdr:spPr>
    </xdr:pic>
    <xdr:clientData/>
  </xdr:twoCellAnchor>
  <xdr:twoCellAnchor editAs="oneCell">
    <xdr:from>
      <xdr:col>15</xdr:col>
      <xdr:colOff>681000</xdr:colOff>
      <xdr:row>21</xdr:row>
      <xdr:rowOff>166650</xdr:rowOff>
    </xdr:from>
    <xdr:to>
      <xdr:col>17</xdr:col>
      <xdr:colOff>117502</xdr:colOff>
      <xdr:row>26</xdr:row>
      <xdr:rowOff>69877</xdr:rowOff>
    </xdr:to>
    <xdr:pic>
      <xdr:nvPicPr>
        <xdr:cNvPr id="5" name="Imagem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520075" y="3738525"/>
          <a:ext cx="808102" cy="808102"/>
        </a:xfrm>
        <a:prstGeom prst="rect">
          <a:avLst/>
        </a:prstGeom>
      </xdr:spPr>
    </xdr:pic>
    <xdr:clientData/>
  </xdr:twoCellAnchor>
  <xdr:twoCellAnchor editAs="oneCell">
    <xdr:from>
      <xdr:col>13</xdr:col>
      <xdr:colOff>421425</xdr:colOff>
      <xdr:row>26</xdr:row>
      <xdr:rowOff>145200</xdr:rowOff>
    </xdr:from>
    <xdr:to>
      <xdr:col>16</xdr:col>
      <xdr:colOff>200025</xdr:colOff>
      <xdr:row>36</xdr:row>
      <xdr:rowOff>171450</xdr:rowOff>
    </xdr:to>
    <xdr:pic>
      <xdr:nvPicPr>
        <xdr:cNvPr id="6" name="Imagem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88900" y="4621950"/>
          <a:ext cx="1836000" cy="1836000"/>
        </a:xfrm>
        <a:prstGeom prst="rect">
          <a:avLst/>
        </a:prstGeom>
      </xdr:spPr>
    </xdr:pic>
    <xdr:clientData/>
  </xdr:twoCellAnchor>
  <xdr:twoCellAnchor editAs="oneCell">
    <xdr:from>
      <xdr:col>16</xdr:col>
      <xdr:colOff>380925</xdr:colOff>
      <xdr:row>16</xdr:row>
      <xdr:rowOff>66600</xdr:rowOff>
    </xdr:from>
    <xdr:to>
      <xdr:col>17</xdr:col>
      <xdr:colOff>533400</xdr:colOff>
      <xdr:row>20</xdr:row>
      <xdr:rowOff>180975</xdr:rowOff>
    </xdr:to>
    <xdr:pic>
      <xdr:nvPicPr>
        <xdr:cNvPr id="7" name="Imagem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905800" y="2733600"/>
          <a:ext cx="838275" cy="838275"/>
        </a:xfrm>
        <a:prstGeom prst="rect">
          <a:avLst/>
        </a:prstGeom>
      </xdr:spPr>
    </xdr:pic>
    <xdr:clientData/>
  </xdr:twoCellAnchor>
  <xdr:twoCellAnchor editAs="oneCell">
    <xdr:from>
      <xdr:col>11</xdr:col>
      <xdr:colOff>549975</xdr:colOff>
      <xdr:row>21</xdr:row>
      <xdr:rowOff>26100</xdr:rowOff>
    </xdr:from>
    <xdr:to>
      <xdr:col>13</xdr:col>
      <xdr:colOff>478876</xdr:colOff>
      <xdr:row>28</xdr:row>
      <xdr:rowOff>59776</xdr:rowOff>
    </xdr:to>
    <xdr:pic>
      <xdr:nvPicPr>
        <xdr:cNvPr id="8" name="Imagem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45850" y="3597975"/>
          <a:ext cx="1300501" cy="1300501"/>
        </a:xfrm>
        <a:prstGeom prst="rect">
          <a:avLst/>
        </a:prstGeom>
      </xdr:spPr>
    </xdr:pic>
    <xdr:clientData/>
  </xdr:twoCellAnchor>
  <xdr:twoCellAnchor editAs="oneCell">
    <xdr:from>
      <xdr:col>16</xdr:col>
      <xdr:colOff>71251</xdr:colOff>
      <xdr:row>10</xdr:row>
      <xdr:rowOff>261751</xdr:rowOff>
    </xdr:from>
    <xdr:to>
      <xdr:col>17</xdr:col>
      <xdr:colOff>323851</xdr:colOff>
      <xdr:row>15</xdr:row>
      <xdr:rowOff>123826</xdr:rowOff>
    </xdr:to>
    <xdr:pic>
      <xdr:nvPicPr>
        <xdr:cNvPr id="13" name="Imagem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596126" y="1642876"/>
          <a:ext cx="938400" cy="938400"/>
        </a:xfrm>
        <a:prstGeom prst="rect">
          <a:avLst/>
        </a:prstGeom>
      </xdr:spPr>
    </xdr:pic>
    <xdr:clientData/>
  </xdr:twoCellAnchor>
  <xdr:twoCellAnchor editAs="oneCell">
    <xdr:from>
      <xdr:col>16</xdr:col>
      <xdr:colOff>230775</xdr:colOff>
      <xdr:row>28</xdr:row>
      <xdr:rowOff>135525</xdr:rowOff>
    </xdr:from>
    <xdr:to>
      <xdr:col>17</xdr:col>
      <xdr:colOff>457200</xdr:colOff>
      <xdr:row>33</xdr:row>
      <xdr:rowOff>142875</xdr:rowOff>
    </xdr:to>
    <xdr:pic>
      <xdr:nvPicPr>
        <xdr:cNvPr id="14" name="Imagem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755650" y="4974225"/>
          <a:ext cx="912225" cy="912225"/>
        </a:xfrm>
        <a:prstGeom prst="rect">
          <a:avLst/>
        </a:prstGeom>
      </xdr:spPr>
    </xdr:pic>
    <xdr:clientData/>
  </xdr:twoCellAnchor>
  <xdr:twoCellAnchor editAs="oneCell">
    <xdr:from>
      <xdr:col>12</xdr:col>
      <xdr:colOff>92625</xdr:colOff>
      <xdr:row>31</xdr:row>
      <xdr:rowOff>35475</xdr:rowOff>
    </xdr:from>
    <xdr:to>
      <xdr:col>13</xdr:col>
      <xdr:colOff>323850</xdr:colOff>
      <xdr:row>36</xdr:row>
      <xdr:rowOff>47625</xdr:rowOff>
    </xdr:to>
    <xdr:pic>
      <xdr:nvPicPr>
        <xdr:cNvPr id="16" name="Imagem 1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874300" y="5417100"/>
          <a:ext cx="917025" cy="917025"/>
        </a:xfrm>
        <a:prstGeom prst="rect">
          <a:avLst/>
        </a:prstGeom>
      </xdr:spPr>
    </xdr:pic>
    <xdr:clientData/>
  </xdr:twoCellAnchor>
  <xdr:twoCellAnchor editAs="oneCell">
    <xdr:from>
      <xdr:col>11</xdr:col>
      <xdr:colOff>47624</xdr:colOff>
      <xdr:row>0</xdr:row>
      <xdr:rowOff>0</xdr:rowOff>
    </xdr:from>
    <xdr:to>
      <xdr:col>14</xdr:col>
      <xdr:colOff>342899</xdr:colOff>
      <xdr:row>11</xdr:row>
      <xdr:rowOff>66675</xdr:rowOff>
    </xdr:to>
    <xdr:pic>
      <xdr:nvPicPr>
        <xdr:cNvPr id="17" name="Imagem 1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591424" y="0"/>
          <a:ext cx="2352675" cy="2352675"/>
        </a:xfrm>
        <a:prstGeom prst="rect">
          <a:avLst/>
        </a:prstGeom>
      </xdr:spPr>
    </xdr:pic>
    <xdr:clientData/>
  </xdr:twoCellAnchor>
  <xdr:twoCellAnchor editAs="oneCell">
    <xdr:from>
      <xdr:col>11</xdr:col>
      <xdr:colOff>583125</xdr:colOff>
      <xdr:row>9</xdr:row>
      <xdr:rowOff>68775</xdr:rowOff>
    </xdr:from>
    <xdr:to>
      <xdr:col>13</xdr:col>
      <xdr:colOff>114300</xdr:colOff>
      <xdr:row>14</xdr:row>
      <xdr:rowOff>135203</xdr:rowOff>
    </xdr:to>
    <xdr:pic>
      <xdr:nvPicPr>
        <xdr:cNvPr id="18" name="Imagem 17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79000" y="1268925"/>
          <a:ext cx="902775" cy="1142753"/>
        </a:xfrm>
        <a:prstGeom prst="rect">
          <a:avLst/>
        </a:prstGeom>
      </xdr:spPr>
    </xdr:pic>
    <xdr:clientData/>
  </xdr:twoCellAnchor>
  <xdr:twoCellAnchor editAs="oneCell">
    <xdr:from>
      <xdr:col>8</xdr:col>
      <xdr:colOff>407176</xdr:colOff>
      <xdr:row>12</xdr:row>
      <xdr:rowOff>188101</xdr:rowOff>
    </xdr:from>
    <xdr:to>
      <xdr:col>10</xdr:col>
      <xdr:colOff>186462</xdr:colOff>
      <xdr:row>18</xdr:row>
      <xdr:rowOff>161926</xdr:rowOff>
    </xdr:to>
    <xdr:pic>
      <xdr:nvPicPr>
        <xdr:cNvPr id="51" name="Imagem 50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893576" y="2655076"/>
          <a:ext cx="1150886" cy="1145400"/>
        </a:xfrm>
        <a:prstGeom prst="rect">
          <a:avLst/>
        </a:prstGeom>
      </xdr:spPr>
    </xdr:pic>
    <xdr:clientData/>
  </xdr:twoCellAnchor>
  <xdr:twoCellAnchor editAs="oneCell">
    <xdr:from>
      <xdr:col>3</xdr:col>
      <xdr:colOff>61876</xdr:colOff>
      <xdr:row>13</xdr:row>
      <xdr:rowOff>152400</xdr:rowOff>
    </xdr:from>
    <xdr:to>
      <xdr:col>4</xdr:col>
      <xdr:colOff>228600</xdr:colOff>
      <xdr:row>18</xdr:row>
      <xdr:rowOff>96310</xdr:rowOff>
    </xdr:to>
    <xdr:pic>
      <xdr:nvPicPr>
        <xdr:cNvPr id="52" name="Imagem 51">
          <a:hlinkClick xmlns:r="http://schemas.openxmlformats.org/officeDocument/2006/relationships" r:id="rId14"/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19276" y="2886075"/>
          <a:ext cx="852524" cy="848785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4</xdr:row>
      <xdr:rowOff>14287</xdr:rowOff>
    </xdr:from>
    <xdr:to>
      <xdr:col>6</xdr:col>
      <xdr:colOff>457200</xdr:colOff>
      <xdr:row>17</xdr:row>
      <xdr:rowOff>23812</xdr:rowOff>
    </xdr:to>
    <xdr:graphicFrame macro="">
      <xdr:nvGraphicFramePr>
        <xdr:cNvPr id="54" name="Diagrama 53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diagram">
          <dgm:relIds xmlns:dgm="http://schemas.openxmlformats.org/drawingml/2006/diagram" xmlns:r="http://schemas.openxmlformats.org/officeDocument/2006/relationships" r:dm="rId16" r:lo="rId17" r:qs="rId18" r:cs="rId19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-30032325</xdr:colOff>
      <xdr:row>2</xdr:row>
      <xdr:rowOff>171450</xdr:rowOff>
    </xdr:from>
    <xdr:to>
      <xdr:col>0</xdr:col>
      <xdr:colOff>-29994225</xdr:colOff>
      <xdr:row>2</xdr:row>
      <xdr:rowOff>171450</xdr:rowOff>
    </xdr:to>
    <xdr:sp macro="" textlink="">
      <xdr:nvSpPr>
        <xdr:cNvPr id="3" name="Shape 4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SpPr/>
      </xdr:nvSpPr>
      <xdr:spPr>
        <a:xfrm rot="10800000" flipH="1">
          <a:off x="-30032325" y="581025"/>
          <a:ext cx="38100" cy="0"/>
        </a:xfrm>
        <a:custGeom>
          <a:avLst/>
          <a:gdLst/>
          <a:ahLst/>
          <a:cxnLst/>
          <a:rect l="0" t="0" r="0" b="0"/>
          <a:pathLst>
            <a:path w="120000" h="120000" extrusionOk="0">
              <a:moveTo>
                <a:pt x="0" y="0"/>
              </a:moveTo>
              <a:lnTo>
                <a:pt x="120000" y="0"/>
              </a:lnTo>
              <a:lnTo>
                <a:pt x="120000" y="120000"/>
              </a:lnTo>
              <a:lnTo>
                <a:pt x="0" y="120000"/>
              </a:lnTo>
              <a:lnTo>
                <a:pt x="0" y="0"/>
              </a:lnTo>
              <a:close/>
            </a:path>
          </a:pathLst>
        </a:custGeom>
        <a:solidFill>
          <a:srgbClr val="9BBB59"/>
        </a:solidFill>
        <a:ln w="38150" cap="sq" cmpd="sng">
          <a:solidFill>
            <a:srgbClr val="F2F2F2"/>
          </a:solidFill>
          <a:prstDash val="solid"/>
          <a:miter/>
          <a:headEnd type="none" w="med" len="med"/>
          <a:tailEnd type="none" w="med" len="med"/>
        </a:ln>
      </xdr:spPr>
      <xdr:txBody>
        <a:bodyPr lIns="20150" tIns="20150" rIns="20150" bIns="20150" anchor="t" anchorCtr="0">
          <a:noAutofit/>
        </a:bodyPr>
        <a:lstStyle/>
        <a:p>
          <a:pPr lvl="0" indent="0" algn="l" rtl="0">
            <a:spcBef>
              <a:spcPts val="0"/>
            </a:spcBef>
            <a:buFont typeface="Arial"/>
            <a:buNone/>
          </a:pPr>
          <a:endParaRPr sz="1200">
            <a:latin typeface="Arial"/>
            <a:ea typeface="Arial"/>
            <a:cs typeface="Arial"/>
            <a:sym typeface="Arial"/>
          </a:endParaRPr>
        </a:p>
      </xdr:txBody>
    </xdr:sp>
    <xdr:clientData fLocksWithSheet="0"/>
  </xdr:twoCellAnchor>
  <xdr:twoCellAnchor>
    <xdr:from>
      <xdr:col>3</xdr:col>
      <xdr:colOff>751349</xdr:colOff>
      <xdr:row>1684</xdr:row>
      <xdr:rowOff>2115978</xdr:rowOff>
    </xdr:from>
    <xdr:to>
      <xdr:col>7</xdr:col>
      <xdr:colOff>693964</xdr:colOff>
      <xdr:row>1684</xdr:row>
      <xdr:rowOff>2334022</xdr:rowOff>
    </xdr:to>
    <xdr:sp macro="" textlink="">
      <xdr:nvSpPr>
        <xdr:cNvPr id="5" name="Shape 8"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SpPr/>
      </xdr:nvSpPr>
      <xdr:spPr>
        <a:xfrm>
          <a:off x="5321081" y="342816157"/>
          <a:ext cx="3389758" cy="218044"/>
        </a:xfrm>
        <a:custGeom>
          <a:avLst/>
          <a:gdLst/>
          <a:ahLst/>
          <a:cxnLst/>
          <a:rect l="0" t="0" r="0" b="0"/>
          <a:pathLst>
            <a:path w="120000" h="120000" extrusionOk="0">
              <a:moveTo>
                <a:pt x="0" y="0"/>
              </a:moveTo>
              <a:lnTo>
                <a:pt x="120000" y="0"/>
              </a:lnTo>
              <a:lnTo>
                <a:pt x="120000" y="120000"/>
              </a:lnTo>
              <a:lnTo>
                <a:pt x="0" y="120000"/>
              </a:lnTo>
              <a:lnTo>
                <a:pt x="0" y="0"/>
              </a:lnTo>
              <a:close/>
            </a:path>
          </a:pathLst>
        </a:custGeom>
        <a:noFill/>
        <a:ln>
          <a:noFill/>
        </a:ln>
      </xdr:spPr>
      <xdr:txBody>
        <a:bodyPr lIns="20150" tIns="20150" rIns="20150" bIns="20150" anchor="ctr" anchorCtr="1">
          <a:noAutofit/>
        </a:bodyPr>
        <a:lstStyle/>
        <a:p>
          <a:pPr marL="0" marR="0" lvl="0" indent="0" algn="ctr" rtl="0">
            <a:lnSpc>
              <a:spcPct val="100000"/>
            </a:lnSpc>
            <a:spcBef>
              <a:spcPts val="0"/>
            </a:spcBef>
            <a:spcAft>
              <a:spcPts val="0"/>
            </a:spcAft>
            <a:buClr>
              <a:srgbClr val="000000"/>
            </a:buClr>
            <a:buSzPct val="25000"/>
            <a:buFont typeface="Calibri"/>
            <a:buNone/>
          </a:pPr>
          <a:r>
            <a:rPr lang="en-US" sz="1200" b="0" i="0" u="none" strike="noStrike" cap="none">
              <a:solidFill>
                <a:srgbClr val="000000"/>
              </a:solidFill>
              <a:latin typeface="Arial" panose="020B0604020202020204" pitchFamily="34" charset="0"/>
              <a:ea typeface="Calibri"/>
              <a:cs typeface="Arial" panose="020B0604020202020204" pitchFamily="34" charset="0"/>
              <a:sym typeface="Calibri"/>
            </a:rPr>
            <a:t>_________________________________</a:t>
          </a:r>
        </a:p>
        <a:p>
          <a:pPr marL="0" marR="0" lvl="0" indent="0" algn="ctr" rtl="0">
            <a:lnSpc>
              <a:spcPct val="100000"/>
            </a:lnSpc>
            <a:spcBef>
              <a:spcPts val="0"/>
            </a:spcBef>
            <a:spcAft>
              <a:spcPts val="0"/>
            </a:spcAft>
            <a:buClr>
              <a:srgbClr val="000000"/>
            </a:buClr>
            <a:buSzPct val="25000"/>
            <a:buFont typeface="Calibri"/>
            <a:buNone/>
          </a:pPr>
          <a:r>
            <a:rPr lang="en-US" sz="1200" b="0" i="0" u="none" strike="noStrike" cap="none">
              <a:solidFill>
                <a:srgbClr val="000000"/>
              </a:solidFill>
              <a:latin typeface="Arial" panose="020B0604020202020204" pitchFamily="34" charset="0"/>
              <a:ea typeface="Calibri"/>
              <a:cs typeface="Arial" panose="020B0604020202020204" pitchFamily="34" charset="0"/>
              <a:sym typeface="Calibri"/>
            </a:rPr>
            <a:t>Giovani Merenda</a:t>
          </a:r>
        </a:p>
        <a:p>
          <a:pPr marL="0" marR="0" lvl="0" indent="0" algn="ctr" rtl="0">
            <a:lnSpc>
              <a:spcPct val="100000"/>
            </a:lnSpc>
            <a:spcBef>
              <a:spcPts val="0"/>
            </a:spcBef>
            <a:spcAft>
              <a:spcPts val="0"/>
            </a:spcAft>
            <a:buClr>
              <a:srgbClr val="000000"/>
            </a:buClr>
            <a:buSzPct val="25000"/>
            <a:buFont typeface="Calibri"/>
            <a:buNone/>
          </a:pPr>
          <a:r>
            <a:rPr lang="en-US" sz="1200" b="1" i="0" u="none" strike="noStrike" cap="none">
              <a:solidFill>
                <a:srgbClr val="000000"/>
              </a:solidFill>
              <a:latin typeface="Arial" panose="020B0604020202020204" pitchFamily="34" charset="0"/>
              <a:ea typeface="Calibri"/>
              <a:cs typeface="Arial" panose="020B0604020202020204" pitchFamily="34" charset="0"/>
              <a:sym typeface="Calibri"/>
            </a:rPr>
            <a:t>Diretoria Executiva</a:t>
          </a:r>
        </a:p>
      </xdr:txBody>
    </xdr:sp>
    <xdr:clientData fLocksWithSheet="0"/>
  </xdr:twoCellAnchor>
  <xdr:twoCellAnchor>
    <xdr:from>
      <xdr:col>0</xdr:col>
      <xdr:colOff>0</xdr:colOff>
      <xdr:row>1686</xdr:row>
      <xdr:rowOff>174496</xdr:rowOff>
    </xdr:from>
    <xdr:to>
      <xdr:col>1</xdr:col>
      <xdr:colOff>762637</xdr:colOff>
      <xdr:row>1689</xdr:row>
      <xdr:rowOff>93185</xdr:rowOff>
    </xdr:to>
    <xdr:sp macro="" textlink="">
      <xdr:nvSpPr>
        <xdr:cNvPr id="7" name="Shape 10">
          <a:extLst>
            <a:ext uri="{FF2B5EF4-FFF2-40B4-BE49-F238E27FC236}">
              <a16:creationId xmlns:a16="http://schemas.microsoft.com/office/drawing/2014/main" id="{00000000-0008-0000-0200-000007000000}"/>
            </a:ext>
          </a:extLst>
        </xdr:cNvPr>
        <xdr:cNvSpPr/>
      </xdr:nvSpPr>
      <xdr:spPr>
        <a:xfrm>
          <a:off x="0" y="335826203"/>
          <a:ext cx="3654985" cy="476250"/>
        </a:xfrm>
        <a:prstGeom prst="rect">
          <a:avLst/>
        </a:prstGeom>
        <a:noFill/>
        <a:ln>
          <a:noFill/>
        </a:ln>
      </xdr:spPr>
      <xdr:txBody>
        <a:bodyPr lIns="90000" tIns="45000" rIns="90000" bIns="45000" anchor="t" anchorCtr="0">
          <a:noAutofit/>
        </a:bodyPr>
        <a:lstStyle/>
        <a:p>
          <a:pPr marL="0" marR="0" lvl="0" indent="0" rtl="0">
            <a:lnSpc>
              <a:spcPct val="100000"/>
            </a:lnSpc>
            <a:spcBef>
              <a:spcPts val="0"/>
            </a:spcBef>
            <a:spcAft>
              <a:spcPts val="0"/>
            </a:spcAft>
            <a:buClr>
              <a:srgbClr val="000000"/>
            </a:buClr>
            <a:buSzPct val="25000"/>
            <a:buFont typeface="Calibri"/>
            <a:buNone/>
          </a:pPr>
          <a:r>
            <a:rPr lang="en-US" sz="1000" b="0" i="0" u="none" strike="noStrike" cap="none">
              <a:solidFill>
                <a:srgbClr val="000000"/>
              </a:solidFill>
              <a:latin typeface="Arial" panose="020B0604020202020204" pitchFamily="34" charset="0"/>
              <a:ea typeface="Calibri"/>
              <a:cs typeface="Arial" panose="020B0604020202020204" pitchFamily="34" charset="0"/>
              <a:sym typeface="Calibri"/>
            </a:rPr>
            <a:t>Rua Cônego Jerônimo Pimentel - 543</a:t>
          </a:r>
          <a:r>
            <a:rPr lang="en-US" sz="1000" b="0" i="0" u="none" strike="noStrike" cap="none" baseline="0">
              <a:solidFill>
                <a:srgbClr val="000000"/>
              </a:solidFill>
              <a:latin typeface="Arial" panose="020B0604020202020204" pitchFamily="34" charset="0"/>
              <a:ea typeface="Calibri"/>
              <a:cs typeface="Arial" panose="020B0604020202020204" pitchFamily="34" charset="0"/>
              <a:sym typeface="Calibri"/>
            </a:rPr>
            <a:t> - </a:t>
          </a:r>
          <a:r>
            <a:rPr lang="en-US" sz="1000" b="0" i="0" u="none" strike="noStrike" cap="none">
              <a:solidFill>
                <a:srgbClr val="000000"/>
              </a:solidFill>
              <a:latin typeface="Arial" panose="020B0604020202020204" pitchFamily="34" charset="0"/>
              <a:ea typeface="Calibri"/>
              <a:cs typeface="Arial" panose="020B0604020202020204" pitchFamily="34" charset="0"/>
              <a:sym typeface="Calibri"/>
            </a:rPr>
            <a:t>Umarizal, Belém - PA</a:t>
          </a:r>
        </a:p>
        <a:p>
          <a:pPr marL="0" marR="0" lvl="0" indent="0" rtl="0">
            <a:lnSpc>
              <a:spcPct val="100000"/>
            </a:lnSpc>
            <a:spcBef>
              <a:spcPts val="0"/>
            </a:spcBef>
            <a:spcAft>
              <a:spcPts val="0"/>
            </a:spcAft>
            <a:buClr>
              <a:srgbClr val="000000"/>
            </a:buClr>
            <a:buSzPct val="25000"/>
            <a:buFont typeface="Calibri"/>
            <a:buNone/>
          </a:pPr>
          <a:r>
            <a:rPr lang="en-US" sz="1000" b="0" i="0" u="none" strike="noStrike" cap="none">
              <a:solidFill>
                <a:srgbClr val="000000"/>
              </a:solidFill>
              <a:latin typeface="Arial" panose="020B0604020202020204" pitchFamily="34" charset="0"/>
              <a:ea typeface="Calibri"/>
              <a:cs typeface="Arial" panose="020B0604020202020204" pitchFamily="34" charset="0"/>
              <a:sym typeface="Calibri"/>
            </a:rPr>
            <a:t>CEP 66.055-000. (91) 3239 – 3800 /3845/ 3831.</a:t>
          </a:r>
        </a:p>
      </xdr:txBody>
    </xdr:sp>
    <xdr:clientData fLocksWithSheet="0"/>
  </xdr:twoCellAnchor>
  <xdr:twoCellAnchor editAs="oneCell">
    <xdr:from>
      <xdr:col>0</xdr:col>
      <xdr:colOff>21706</xdr:colOff>
      <xdr:row>0</xdr:row>
      <xdr:rowOff>135467</xdr:rowOff>
    </xdr:from>
    <xdr:to>
      <xdr:col>0</xdr:col>
      <xdr:colOff>2015419</xdr:colOff>
      <xdr:row>3</xdr:row>
      <xdr:rowOff>50679</xdr:rowOff>
    </xdr:to>
    <xdr:pic>
      <xdr:nvPicPr>
        <xdr:cNvPr id="10" name="Imagem 9">
          <a:extLst>
            <a:ext uri="{FF2B5EF4-FFF2-40B4-BE49-F238E27FC236}">
              <a16:creationId xmlns:a16="http://schemas.microsoft.com/office/drawing/2014/main" id="{00000000-0008-0000-02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706" y="135467"/>
          <a:ext cx="1993713" cy="472773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1688</xdr:row>
      <xdr:rowOff>158959</xdr:rowOff>
    </xdr:from>
    <xdr:to>
      <xdr:col>4</xdr:col>
      <xdr:colOff>585107</xdr:colOff>
      <xdr:row>1689</xdr:row>
      <xdr:rowOff>93588</xdr:rowOff>
    </xdr:to>
    <xdr:sp macro="" textlink="">
      <xdr:nvSpPr>
        <xdr:cNvPr id="13" name="Rectangle 91">
          <a:extLst>
            <a:ext uri="{FF2B5EF4-FFF2-40B4-BE49-F238E27FC236}">
              <a16:creationId xmlns:a16="http://schemas.microsoft.com/office/drawing/2014/main" id="{00000000-0008-0000-0200-00000D000000}"/>
            </a:ext>
          </a:extLst>
        </xdr:cNvPr>
        <xdr:cNvSpPr>
          <a:spLocks noChangeArrowheads="1"/>
        </xdr:cNvSpPr>
      </xdr:nvSpPr>
      <xdr:spPr bwMode="auto">
        <a:xfrm>
          <a:off x="0" y="336182374"/>
          <a:ext cx="6032942" cy="120482"/>
        </a:xfrm>
        <a:prstGeom prst="rect">
          <a:avLst/>
        </a:prstGeom>
        <a:solidFill>
          <a:srgbClr val="002060"/>
        </a:solidFill>
        <a:ln>
          <a:noFill/>
        </a:ln>
        <a:effectLst/>
        <a:extLst>
          <a:ext uri="{91240B29-F687-4F45-9708-019B960494DF}">
            <a14:hiddenLine xmlns:a14="http://schemas.microsoft.com/office/drawing/2010/main" w="38100">
              <a:solidFill>
                <a:srgbClr val="F2F2F2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28398" dir="3806097" algn="ctr" rotWithShape="0">
                  <a:srgbClr val="4E6128">
                    <a:alpha val="50000"/>
                  </a:srgbClr>
                </a:outerShdw>
              </a:effectLst>
            </a14:hiddenEffects>
          </a:ext>
        </a:extLst>
      </xdr:spPr>
    </xdr:sp>
    <xdr:clientData/>
  </xdr:twoCellAnchor>
  <xdr:twoCellAnchor>
    <xdr:from>
      <xdr:col>0</xdr:col>
      <xdr:colOff>0</xdr:colOff>
      <xdr:row>1689</xdr:row>
      <xdr:rowOff>82666</xdr:rowOff>
    </xdr:from>
    <xdr:to>
      <xdr:col>5</xdr:col>
      <xdr:colOff>381000</xdr:colOff>
      <xdr:row>1689</xdr:row>
      <xdr:rowOff>181961</xdr:rowOff>
    </xdr:to>
    <xdr:sp macro="" textlink="">
      <xdr:nvSpPr>
        <xdr:cNvPr id="14" name="Rectangle 92">
          <a:extLst>
            <a:ext uri="{FF2B5EF4-FFF2-40B4-BE49-F238E27FC236}">
              <a16:creationId xmlns:a16="http://schemas.microsoft.com/office/drawing/2014/main" id="{00000000-0008-0000-0200-00000E000000}"/>
            </a:ext>
          </a:extLst>
        </xdr:cNvPr>
        <xdr:cNvSpPr>
          <a:spLocks noChangeArrowheads="1"/>
        </xdr:cNvSpPr>
      </xdr:nvSpPr>
      <xdr:spPr bwMode="auto">
        <a:xfrm>
          <a:off x="0" y="336291934"/>
          <a:ext cx="6700024" cy="99295"/>
        </a:xfrm>
        <a:prstGeom prst="rect">
          <a:avLst/>
        </a:prstGeom>
        <a:solidFill>
          <a:srgbClr val="C00000"/>
        </a:solidFill>
        <a:ln>
          <a:noFill/>
        </a:ln>
        <a:effectLst/>
        <a:extLst>
          <a:ext uri="{91240B29-F687-4F45-9708-019B960494DF}">
            <a14:hiddenLine xmlns:a14="http://schemas.microsoft.com/office/drawing/2010/main" w="38100">
              <a:solidFill>
                <a:srgbClr val="F2F2F2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28398" dir="3806097" algn="ctr" rotWithShape="0">
                  <a:srgbClr val="4E6128">
                    <a:alpha val="50000"/>
                  </a:srgbClr>
                </a:outerShdw>
              </a:effectLst>
            </a14:hiddenEffects>
          </a:ext>
        </a:extLst>
      </xdr:spPr>
    </xdr:sp>
    <xdr:clientData/>
  </xdr:twoCellAnchor>
  <xdr:twoCellAnchor>
    <xdr:from>
      <xdr:col>7</xdr:col>
      <xdr:colOff>168207</xdr:colOff>
      <xdr:row>1684</xdr:row>
      <xdr:rowOff>173749</xdr:rowOff>
    </xdr:from>
    <xdr:to>
      <xdr:col>11</xdr:col>
      <xdr:colOff>142891</xdr:colOff>
      <xdr:row>1686</xdr:row>
      <xdr:rowOff>0</xdr:rowOff>
    </xdr:to>
    <xdr:sp macro="" textlink="">
      <xdr:nvSpPr>
        <xdr:cNvPr id="12" name="Shape 8">
          <a:extLst>
            <a:ext uri="{FF2B5EF4-FFF2-40B4-BE49-F238E27FC236}">
              <a16:creationId xmlns:a16="http://schemas.microsoft.com/office/drawing/2014/main" id="{00000000-0008-0000-0200-00000C000000}"/>
            </a:ext>
          </a:extLst>
        </xdr:cNvPr>
        <xdr:cNvSpPr/>
      </xdr:nvSpPr>
      <xdr:spPr>
        <a:xfrm>
          <a:off x="8264457" y="330017529"/>
          <a:ext cx="3378129" cy="360579"/>
        </a:xfrm>
        <a:custGeom>
          <a:avLst/>
          <a:gdLst/>
          <a:ahLst/>
          <a:cxnLst/>
          <a:rect l="0" t="0" r="0" b="0"/>
          <a:pathLst>
            <a:path w="120000" h="120000" extrusionOk="0">
              <a:moveTo>
                <a:pt x="0" y="0"/>
              </a:moveTo>
              <a:lnTo>
                <a:pt x="120000" y="0"/>
              </a:lnTo>
              <a:lnTo>
                <a:pt x="120000" y="120000"/>
              </a:lnTo>
              <a:lnTo>
                <a:pt x="0" y="120000"/>
              </a:lnTo>
              <a:lnTo>
                <a:pt x="0" y="0"/>
              </a:lnTo>
              <a:close/>
            </a:path>
          </a:pathLst>
        </a:custGeom>
        <a:noFill/>
        <a:ln>
          <a:noFill/>
        </a:ln>
      </xdr:spPr>
      <xdr:txBody>
        <a:bodyPr lIns="20150" tIns="20150" rIns="20150" bIns="20150" anchor="ctr" anchorCtr="1">
          <a:noAutofit/>
        </a:bodyPr>
        <a:lstStyle/>
        <a:p>
          <a:pPr marL="0" marR="0" lvl="0" indent="0" algn="ctr" rtl="0">
            <a:lnSpc>
              <a:spcPct val="100000"/>
            </a:lnSpc>
            <a:spcBef>
              <a:spcPts val="0"/>
            </a:spcBef>
            <a:spcAft>
              <a:spcPts val="0"/>
            </a:spcAft>
            <a:buClr>
              <a:srgbClr val="000000"/>
            </a:buClr>
            <a:buSzPct val="25000"/>
            <a:buFont typeface="Calibri"/>
            <a:buNone/>
          </a:pPr>
          <a:r>
            <a:rPr lang="en-US" sz="1200" b="0" i="0" u="none" strike="noStrike" cap="none">
              <a:solidFill>
                <a:srgbClr val="000000"/>
              </a:solidFill>
              <a:latin typeface="Arial" panose="020B0604020202020204" pitchFamily="34" charset="0"/>
              <a:ea typeface="Calibri"/>
              <a:cs typeface="Arial" panose="020B0604020202020204" pitchFamily="34" charset="0"/>
              <a:sym typeface="Calibri"/>
            </a:rPr>
            <a:t>                                                                     _________________________________</a:t>
          </a:r>
        </a:p>
        <a:p>
          <a:r>
            <a:rPr lang="pt-BR" sz="1200" b="0" i="0"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                  Eduardo Pereira da Silva</a:t>
          </a:r>
        </a:p>
        <a:p>
          <a:r>
            <a:rPr lang="en-US" sz="1200" b="1" i="0" u="none" strike="noStrike" cap="none">
              <a:solidFill>
                <a:srgbClr val="000000"/>
              </a:solidFill>
              <a:latin typeface="Arial" panose="020B0604020202020204" pitchFamily="34" charset="0"/>
              <a:ea typeface="Calibri"/>
              <a:cs typeface="Arial" panose="020B0604020202020204" pitchFamily="34" charset="0"/>
              <a:sym typeface="Calibri"/>
            </a:rPr>
            <a:t>       Gerente Administrativa e Financeira</a:t>
          </a:r>
        </a:p>
      </xdr:txBody>
    </xdr:sp>
    <xdr:clientData fLocksWithSheet="0"/>
  </xdr:twoCellAnchor>
  <xdr:twoCellAnchor editAs="oneCell">
    <xdr:from>
      <xdr:col>13</xdr:col>
      <xdr:colOff>638873</xdr:colOff>
      <xdr:row>1686</xdr:row>
      <xdr:rowOff>104546</xdr:rowOff>
    </xdr:from>
    <xdr:to>
      <xdr:col>14</xdr:col>
      <xdr:colOff>866310</xdr:colOff>
      <xdr:row>1689</xdr:row>
      <xdr:rowOff>114459</xdr:rowOff>
    </xdr:to>
    <xdr:pic>
      <xdr:nvPicPr>
        <xdr:cNvPr id="4" name="Imagem 3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57714" y="335756253"/>
          <a:ext cx="1214785" cy="567474"/>
        </a:xfrm>
        <a:prstGeom prst="rect">
          <a:avLst/>
        </a:prstGeom>
      </xdr:spPr>
    </xdr:pic>
    <xdr:clientData/>
  </xdr:twoCellAnchor>
  <xdr:twoCellAnchor editAs="oneCell">
    <xdr:from>
      <xdr:col>12</xdr:col>
      <xdr:colOff>166688</xdr:colOff>
      <xdr:row>0</xdr:row>
      <xdr:rowOff>107157</xdr:rowOff>
    </xdr:from>
    <xdr:to>
      <xdr:col>14</xdr:col>
      <xdr:colOff>726163</xdr:colOff>
      <xdr:row>3</xdr:row>
      <xdr:rowOff>43435</xdr:rowOff>
    </xdr:to>
    <xdr:pic>
      <xdr:nvPicPr>
        <xdr:cNvPr id="8" name="Imagem 7">
          <a:extLst>
            <a:ext uri="{FF2B5EF4-FFF2-40B4-BE49-F238E27FC236}">
              <a16:creationId xmlns:a16="http://schemas.microsoft.com/office/drawing/2014/main" id="{00000000-0008-0000-02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465844" y="107157"/>
          <a:ext cx="2393040" cy="472059"/>
        </a:xfrm>
        <a:prstGeom prst="rect">
          <a:avLst/>
        </a:prstGeom>
      </xdr:spPr>
    </xdr:pic>
    <xdr:clientData/>
  </xdr:twoCellAnchor>
  <xdr:twoCellAnchor editAs="oneCell">
    <xdr:from>
      <xdr:col>12</xdr:col>
      <xdr:colOff>420212</xdr:colOff>
      <xdr:row>1686</xdr:row>
      <xdr:rowOff>174242</xdr:rowOff>
    </xdr:from>
    <xdr:to>
      <xdr:col>13</xdr:col>
      <xdr:colOff>604026</xdr:colOff>
      <xdr:row>1689</xdr:row>
      <xdr:rowOff>136005</xdr:rowOff>
    </xdr:to>
    <xdr:pic>
      <xdr:nvPicPr>
        <xdr:cNvPr id="6" name="Imagem 5">
          <a:extLst>
            <a:ext uri="{FF2B5EF4-FFF2-40B4-BE49-F238E27FC236}">
              <a16:creationId xmlns:a16="http://schemas.microsoft.com/office/drawing/2014/main" id="{00000000-0008-0000-02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91096" y="335825949"/>
          <a:ext cx="1031771" cy="5193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68867</xdr:colOff>
      <xdr:row>10</xdr:row>
      <xdr:rowOff>51448</xdr:rowOff>
    </xdr:from>
    <xdr:to>
      <xdr:col>4</xdr:col>
      <xdr:colOff>369794</xdr:colOff>
      <xdr:row>29</xdr:row>
      <xdr:rowOff>67236</xdr:rowOff>
    </xdr:to>
    <xdr:graphicFrame macro="">
      <xdr:nvGraphicFramePr>
        <xdr:cNvPr id="7" name="Gráfico 6">
          <a:extLst>
            <a:ext uri="{FF2B5EF4-FFF2-40B4-BE49-F238E27FC236}">
              <a16:creationId xmlns:a16="http://schemas.microsoft.com/office/drawing/2014/main" id="{00000000-0008-0000-0300-000007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450007</xdr:colOff>
      <xdr:row>10</xdr:row>
      <xdr:rowOff>57896</xdr:rowOff>
    </xdr:from>
    <xdr:to>
      <xdr:col>12</xdr:col>
      <xdr:colOff>549088</xdr:colOff>
      <xdr:row>29</xdr:row>
      <xdr:rowOff>56030</xdr:rowOff>
    </xdr:to>
    <xdr:graphicFrame macro="">
      <xdr:nvGraphicFramePr>
        <xdr:cNvPr id="8" name="Gráfico 7">
          <a:extLst>
            <a:ext uri="{FF2B5EF4-FFF2-40B4-BE49-F238E27FC236}">
              <a16:creationId xmlns:a16="http://schemas.microsoft.com/office/drawing/2014/main" id="{00000000-0008-0000-0300-000008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79791</xdr:colOff>
      <xdr:row>30</xdr:row>
      <xdr:rowOff>164624</xdr:rowOff>
    </xdr:from>
    <xdr:to>
      <xdr:col>4</xdr:col>
      <xdr:colOff>168089</xdr:colOff>
      <xdr:row>51</xdr:row>
      <xdr:rowOff>145677</xdr:rowOff>
    </xdr:to>
    <xdr:graphicFrame macro="">
      <xdr:nvGraphicFramePr>
        <xdr:cNvPr id="9" name="Gráfico 8">
          <a:extLst>
            <a:ext uri="{FF2B5EF4-FFF2-40B4-BE49-F238E27FC236}">
              <a16:creationId xmlns:a16="http://schemas.microsoft.com/office/drawing/2014/main" id="{00000000-0008-0000-0300-000009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4</xdr:col>
      <xdr:colOff>459443</xdr:colOff>
      <xdr:row>30</xdr:row>
      <xdr:rowOff>166402</xdr:rowOff>
    </xdr:from>
    <xdr:to>
      <xdr:col>12</xdr:col>
      <xdr:colOff>563794</xdr:colOff>
      <xdr:row>51</xdr:row>
      <xdr:rowOff>145677</xdr:rowOff>
    </xdr:to>
    <xdr:graphicFrame macro="">
      <xdr:nvGraphicFramePr>
        <xdr:cNvPr id="10" name="Gráfico 9">
          <a:extLst>
            <a:ext uri="{FF2B5EF4-FFF2-40B4-BE49-F238E27FC236}">
              <a16:creationId xmlns:a16="http://schemas.microsoft.com/office/drawing/2014/main" id="{00000000-0008-0000-0300-00000A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0</xdr:colOff>
      <xdr:row>52</xdr:row>
      <xdr:rowOff>86692</xdr:rowOff>
    </xdr:from>
    <xdr:to>
      <xdr:col>2</xdr:col>
      <xdr:colOff>277813</xdr:colOff>
      <xdr:row>54</xdr:row>
      <xdr:rowOff>146828</xdr:rowOff>
    </xdr:to>
    <xdr:sp macro="" textlink="">
      <xdr:nvSpPr>
        <xdr:cNvPr id="6" name="Shape 10">
          <a:extLst>
            <a:ext uri="{FF2B5EF4-FFF2-40B4-BE49-F238E27FC236}">
              <a16:creationId xmlns:a16="http://schemas.microsoft.com/office/drawing/2014/main" id="{00000000-0008-0000-0300-000006000000}"/>
            </a:ext>
          </a:extLst>
        </xdr:cNvPr>
        <xdr:cNvSpPr/>
      </xdr:nvSpPr>
      <xdr:spPr>
        <a:xfrm>
          <a:off x="0" y="9294192"/>
          <a:ext cx="4405313" cy="409386"/>
        </a:xfrm>
        <a:prstGeom prst="rect">
          <a:avLst/>
        </a:prstGeom>
        <a:noFill/>
        <a:ln>
          <a:noFill/>
        </a:ln>
      </xdr:spPr>
      <xdr:txBody>
        <a:bodyPr lIns="90000" tIns="45000" rIns="90000" bIns="45000" anchor="t" anchorCtr="0">
          <a:noAutofit/>
        </a:bodyPr>
        <a:lstStyle/>
        <a:p>
          <a:pPr marL="0" marR="0" lvl="0" indent="0" rtl="0">
            <a:lnSpc>
              <a:spcPct val="100000"/>
            </a:lnSpc>
            <a:spcBef>
              <a:spcPts val="0"/>
            </a:spcBef>
            <a:spcAft>
              <a:spcPts val="0"/>
            </a:spcAft>
            <a:buClr>
              <a:srgbClr val="000000"/>
            </a:buClr>
            <a:buSzPct val="25000"/>
            <a:buFont typeface="Calibri"/>
            <a:buNone/>
          </a:pPr>
          <a:r>
            <a:rPr lang="en-US" sz="1000" b="0" i="0" u="none" strike="noStrike" cap="none">
              <a:solidFill>
                <a:srgbClr val="000000"/>
              </a:solidFill>
              <a:latin typeface="Arial" panose="020B0604020202020204" pitchFamily="34" charset="0"/>
              <a:ea typeface="Calibri"/>
              <a:cs typeface="Arial" panose="020B0604020202020204" pitchFamily="34" charset="0"/>
              <a:sym typeface="Calibri"/>
            </a:rPr>
            <a:t>Rua Cônego Jerônimo Pimentel - 543</a:t>
          </a:r>
          <a:r>
            <a:rPr lang="en-US" sz="1000" b="0" i="0" u="none" strike="noStrike" cap="none" baseline="0">
              <a:solidFill>
                <a:srgbClr val="000000"/>
              </a:solidFill>
              <a:latin typeface="Arial" panose="020B0604020202020204" pitchFamily="34" charset="0"/>
              <a:ea typeface="Calibri"/>
              <a:cs typeface="Arial" panose="020B0604020202020204" pitchFamily="34" charset="0"/>
              <a:sym typeface="Calibri"/>
            </a:rPr>
            <a:t> - </a:t>
          </a:r>
          <a:r>
            <a:rPr lang="en-US" sz="1000" b="0" i="0" u="none" strike="noStrike" cap="none">
              <a:solidFill>
                <a:srgbClr val="000000"/>
              </a:solidFill>
              <a:latin typeface="Arial" panose="020B0604020202020204" pitchFamily="34" charset="0"/>
              <a:ea typeface="Calibri"/>
              <a:cs typeface="Arial" panose="020B0604020202020204" pitchFamily="34" charset="0"/>
              <a:sym typeface="Calibri"/>
            </a:rPr>
            <a:t>Umarizal, Belém - PA</a:t>
          </a:r>
        </a:p>
        <a:p>
          <a:pPr marL="0" marR="0" lvl="0" indent="0" rtl="0">
            <a:lnSpc>
              <a:spcPct val="100000"/>
            </a:lnSpc>
            <a:spcBef>
              <a:spcPts val="0"/>
            </a:spcBef>
            <a:spcAft>
              <a:spcPts val="0"/>
            </a:spcAft>
            <a:buClr>
              <a:srgbClr val="000000"/>
            </a:buClr>
            <a:buSzPct val="25000"/>
            <a:buFont typeface="Calibri"/>
            <a:buNone/>
          </a:pPr>
          <a:r>
            <a:rPr lang="en-US" sz="1000" b="0" i="0" u="none" strike="noStrike" cap="none">
              <a:solidFill>
                <a:srgbClr val="000000"/>
              </a:solidFill>
              <a:latin typeface="Arial" panose="020B0604020202020204" pitchFamily="34" charset="0"/>
              <a:ea typeface="Calibri"/>
              <a:cs typeface="Arial" panose="020B0604020202020204" pitchFamily="34" charset="0"/>
              <a:sym typeface="Calibri"/>
            </a:rPr>
            <a:t>CEP 66.055-000. (91) 3239 – 3800 /3845/ 3831.</a:t>
          </a:r>
        </a:p>
      </xdr:txBody>
    </xdr:sp>
    <xdr:clientData fLocksWithSheet="0"/>
  </xdr:twoCellAnchor>
  <xdr:twoCellAnchor>
    <xdr:from>
      <xdr:col>0</xdr:col>
      <xdr:colOff>24982</xdr:colOff>
      <xdr:row>54</xdr:row>
      <xdr:rowOff>123017</xdr:rowOff>
    </xdr:from>
    <xdr:to>
      <xdr:col>4</xdr:col>
      <xdr:colOff>498964</xdr:colOff>
      <xdr:row>55</xdr:row>
      <xdr:rowOff>42144</xdr:rowOff>
    </xdr:to>
    <xdr:sp macro="" textlink="">
      <xdr:nvSpPr>
        <xdr:cNvPr id="11" name="Rectangle 91">
          <a:extLst>
            <a:ext uri="{FF2B5EF4-FFF2-40B4-BE49-F238E27FC236}">
              <a16:creationId xmlns:a16="http://schemas.microsoft.com/office/drawing/2014/main" id="{00000000-0008-0000-0300-00000B000000}"/>
            </a:ext>
          </a:extLst>
        </xdr:cNvPr>
        <xdr:cNvSpPr>
          <a:spLocks noChangeArrowheads="1"/>
        </xdr:cNvSpPr>
      </xdr:nvSpPr>
      <xdr:spPr bwMode="auto">
        <a:xfrm>
          <a:off x="24982" y="9679767"/>
          <a:ext cx="5966732" cy="93752"/>
        </a:xfrm>
        <a:prstGeom prst="rect">
          <a:avLst/>
        </a:prstGeom>
        <a:solidFill>
          <a:srgbClr val="002060"/>
        </a:solidFill>
        <a:ln>
          <a:noFill/>
        </a:ln>
        <a:effectLst/>
        <a:extLst>
          <a:ext uri="{91240B29-F687-4F45-9708-019B960494DF}">
            <a14:hiddenLine xmlns:a14="http://schemas.microsoft.com/office/drawing/2010/main" w="38100">
              <a:solidFill>
                <a:srgbClr val="F2F2F2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28398" dir="3806097" algn="ctr" rotWithShape="0">
                  <a:srgbClr val="4E6128">
                    <a:alpha val="50000"/>
                  </a:srgbClr>
                </a:outerShdw>
              </a:effectLst>
            </a14:hiddenEffects>
          </a:ext>
        </a:extLst>
      </xdr:spPr>
    </xdr:sp>
    <xdr:clientData/>
  </xdr:twoCellAnchor>
  <xdr:twoCellAnchor>
    <xdr:from>
      <xdr:col>0</xdr:col>
      <xdr:colOff>25250</xdr:colOff>
      <xdr:row>55</xdr:row>
      <xdr:rowOff>55742</xdr:rowOff>
    </xdr:from>
    <xdr:to>
      <xdr:col>5</xdr:col>
      <xdr:colOff>476251</xdr:colOff>
      <xdr:row>56</xdr:row>
      <xdr:rowOff>0</xdr:rowOff>
    </xdr:to>
    <xdr:sp macro="" textlink="">
      <xdr:nvSpPr>
        <xdr:cNvPr id="12" name="Rectangle 92">
          <a:extLst>
            <a:ext uri="{FF2B5EF4-FFF2-40B4-BE49-F238E27FC236}">
              <a16:creationId xmlns:a16="http://schemas.microsoft.com/office/drawing/2014/main" id="{00000000-0008-0000-0300-00000C000000}"/>
            </a:ext>
          </a:extLst>
        </xdr:cNvPr>
        <xdr:cNvSpPr>
          <a:spLocks noChangeArrowheads="1"/>
        </xdr:cNvSpPr>
      </xdr:nvSpPr>
      <xdr:spPr bwMode="auto">
        <a:xfrm>
          <a:off x="25250" y="9787117"/>
          <a:ext cx="6626376" cy="118883"/>
        </a:xfrm>
        <a:prstGeom prst="rect">
          <a:avLst/>
        </a:prstGeom>
        <a:solidFill>
          <a:srgbClr val="C00000"/>
        </a:solidFill>
        <a:ln>
          <a:noFill/>
        </a:ln>
        <a:effectLst/>
        <a:extLst>
          <a:ext uri="{91240B29-F687-4F45-9708-019B960494DF}">
            <a14:hiddenLine xmlns:a14="http://schemas.microsoft.com/office/drawing/2010/main" w="38100">
              <a:solidFill>
                <a:srgbClr val="F2F2F2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28398" dir="3806097" algn="ctr" rotWithShape="0">
                  <a:srgbClr val="4E6128">
                    <a:alpha val="50000"/>
                  </a:srgbClr>
                </a:outerShdw>
              </a:effectLst>
            </a14:hiddenEffects>
          </a:ext>
        </a:extLst>
      </xdr:spPr>
    </xdr:sp>
    <xdr:clientData/>
  </xdr:twoCellAnchor>
  <xdr:twoCellAnchor editAs="oneCell">
    <xdr:from>
      <xdr:col>11</xdr:col>
      <xdr:colOff>156377</xdr:colOff>
      <xdr:row>52</xdr:row>
      <xdr:rowOff>59523</xdr:rowOff>
    </xdr:from>
    <xdr:to>
      <xdr:col>12</xdr:col>
      <xdr:colOff>650872</xdr:colOff>
      <xdr:row>55</xdr:row>
      <xdr:rowOff>113078</xdr:rowOff>
    </xdr:to>
    <xdr:pic>
      <xdr:nvPicPr>
        <xdr:cNvPr id="13" name="Imagem 12">
          <a:extLst>
            <a:ext uri="{FF2B5EF4-FFF2-40B4-BE49-F238E27FC236}">
              <a16:creationId xmlns:a16="http://schemas.microsoft.com/office/drawing/2014/main" id="{00000000-0008-0000-0300-00000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27502" y="9267023"/>
          <a:ext cx="1177120" cy="577430"/>
        </a:xfrm>
        <a:prstGeom prst="rect">
          <a:avLst/>
        </a:prstGeom>
      </xdr:spPr>
    </xdr:pic>
    <xdr:clientData/>
  </xdr:twoCellAnchor>
  <xdr:twoCellAnchor editAs="oneCell">
    <xdr:from>
      <xdr:col>9</xdr:col>
      <xdr:colOff>357183</xdr:colOff>
      <xdr:row>52</xdr:row>
      <xdr:rowOff>63491</xdr:rowOff>
    </xdr:from>
    <xdr:to>
      <xdr:col>11</xdr:col>
      <xdr:colOff>32239</xdr:colOff>
      <xdr:row>55</xdr:row>
      <xdr:rowOff>79952</xdr:rowOff>
    </xdr:to>
    <xdr:pic>
      <xdr:nvPicPr>
        <xdr:cNvPr id="14" name="Imagem 13">
          <a:extLst>
            <a:ext uri="{FF2B5EF4-FFF2-40B4-BE49-F238E27FC236}">
              <a16:creationId xmlns:a16="http://schemas.microsoft.com/office/drawing/2014/main" id="{00000000-0008-0000-0300-00000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263058" y="9270991"/>
          <a:ext cx="1040306" cy="540336"/>
        </a:xfrm>
        <a:prstGeom prst="rect">
          <a:avLst/>
        </a:prstGeom>
      </xdr:spPr>
    </xdr:pic>
    <xdr:clientData/>
  </xdr:twoCellAnchor>
  <xdr:twoCellAnchor editAs="oneCell">
    <xdr:from>
      <xdr:col>0</xdr:col>
      <xdr:colOff>71438</xdr:colOff>
      <xdr:row>6</xdr:row>
      <xdr:rowOff>87840</xdr:rowOff>
    </xdr:from>
    <xdr:to>
      <xdr:col>0</xdr:col>
      <xdr:colOff>2065151</xdr:colOff>
      <xdr:row>9</xdr:row>
      <xdr:rowOff>18114</xdr:rowOff>
    </xdr:to>
    <xdr:pic>
      <xdr:nvPicPr>
        <xdr:cNvPr id="15" name="Imagem 14">
          <a:extLst>
            <a:ext uri="{FF2B5EF4-FFF2-40B4-BE49-F238E27FC236}">
              <a16:creationId xmlns:a16="http://schemas.microsoft.com/office/drawing/2014/main" id="{6255D388-3C0A-4ED2-988C-4E1740885C7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1438" y="1254653"/>
          <a:ext cx="1993713" cy="466055"/>
        </a:xfrm>
        <a:prstGeom prst="rect">
          <a:avLst/>
        </a:prstGeom>
      </xdr:spPr>
    </xdr:pic>
    <xdr:clientData/>
  </xdr:twoCellAnchor>
  <xdr:twoCellAnchor editAs="oneCell">
    <xdr:from>
      <xdr:col>9</xdr:col>
      <xdr:colOff>255461</xdr:colOff>
      <xdr:row>6</xdr:row>
      <xdr:rowOff>83343</xdr:rowOff>
    </xdr:from>
    <xdr:to>
      <xdr:col>12</xdr:col>
      <xdr:colOff>579395</xdr:colOff>
      <xdr:row>9</xdr:row>
      <xdr:rowOff>34683</xdr:rowOff>
    </xdr:to>
    <xdr:pic>
      <xdr:nvPicPr>
        <xdr:cNvPr id="16" name="Imagem 15">
          <a:extLst>
            <a:ext uri="{FF2B5EF4-FFF2-40B4-BE49-F238E27FC236}">
              <a16:creationId xmlns:a16="http://schemas.microsoft.com/office/drawing/2014/main" id="{F7B441E9-3772-4BC7-B322-2BEAFD9D0D9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197055" y="1250156"/>
          <a:ext cx="2395621" cy="487121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9</xdr:row>
      <xdr:rowOff>71437</xdr:rowOff>
    </xdr:from>
    <xdr:to>
      <xdr:col>12</xdr:col>
      <xdr:colOff>678656</xdr:colOff>
      <xdr:row>10</xdr:row>
      <xdr:rowOff>35718</xdr:rowOff>
    </xdr:to>
    <xdr:sp macro="" textlink="">
      <xdr:nvSpPr>
        <xdr:cNvPr id="17" name="Rectangle 1">
          <a:extLst>
            <a:ext uri="{FF2B5EF4-FFF2-40B4-BE49-F238E27FC236}">
              <a16:creationId xmlns:a16="http://schemas.microsoft.com/office/drawing/2014/main" id="{E0073F1B-003E-4CD4-8F79-8833EBEBC3D7}"/>
            </a:ext>
          </a:extLst>
        </xdr:cNvPr>
        <xdr:cNvSpPr>
          <a:spLocks noChangeArrowheads="1"/>
        </xdr:cNvSpPr>
      </xdr:nvSpPr>
      <xdr:spPr bwMode="auto">
        <a:xfrm>
          <a:off x="0" y="1774031"/>
          <a:ext cx="11691937" cy="142875"/>
        </a:xfrm>
        <a:prstGeom prst="rect">
          <a:avLst/>
        </a:prstGeom>
        <a:solidFill>
          <a:srgbClr val="002060"/>
        </a:solidFill>
        <a:ln w="38100">
          <a:solidFill>
            <a:srgbClr val="F2F2F2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28398" dir="3806097" algn="ctr" rotWithShape="0">
                  <a:srgbClr val="4E6128">
                    <a:alpha val="50000"/>
                  </a:srgbClr>
                </a:outerShdw>
              </a:effectLst>
            </a14:hiddenEffects>
          </a:ext>
        </a:extLst>
      </xdr:spPr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666750</xdr:colOff>
      <xdr:row>14</xdr:row>
      <xdr:rowOff>175403</xdr:rowOff>
    </xdr:from>
    <xdr:to>
      <xdr:col>6</xdr:col>
      <xdr:colOff>1578189</xdr:colOff>
      <xdr:row>30</xdr:row>
      <xdr:rowOff>38370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2202754</xdr:colOff>
      <xdr:row>14</xdr:row>
      <xdr:rowOff>136463</xdr:rowOff>
    </xdr:from>
    <xdr:to>
      <xdr:col>14</xdr:col>
      <xdr:colOff>322247</xdr:colOff>
      <xdr:row>30</xdr:row>
      <xdr:rowOff>1831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639536</xdr:colOff>
      <xdr:row>33</xdr:row>
      <xdr:rowOff>51596</xdr:rowOff>
    </xdr:from>
    <xdr:to>
      <xdr:col>6</xdr:col>
      <xdr:colOff>1572932</xdr:colOff>
      <xdr:row>48</xdr:row>
      <xdr:rowOff>80170</xdr:rowOff>
    </xdr:to>
    <xdr:graphicFrame macro="">
      <xdr:nvGraphicFramePr>
        <xdr:cNvPr id="4" name="Gráfico 3">
          <a:extLst>
            <a:ext uri="{FF2B5EF4-FFF2-40B4-BE49-F238E27FC236}">
              <a16:creationId xmlns:a16="http://schemas.microsoft.com/office/drawing/2014/main" id="{00000000-0008-0000-0400-00000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7</xdr:col>
      <xdr:colOff>25077</xdr:colOff>
      <xdr:row>33</xdr:row>
      <xdr:rowOff>57758</xdr:rowOff>
    </xdr:from>
    <xdr:to>
      <xdr:col>14</xdr:col>
      <xdr:colOff>346659</xdr:colOff>
      <xdr:row>48</xdr:row>
      <xdr:rowOff>86332</xdr:rowOff>
    </xdr:to>
    <xdr:graphicFrame macro="">
      <xdr:nvGraphicFramePr>
        <xdr:cNvPr id="5" name="Gráfico 4">
          <a:extLst>
            <a:ext uri="{FF2B5EF4-FFF2-40B4-BE49-F238E27FC236}">
              <a16:creationId xmlns:a16="http://schemas.microsoft.com/office/drawing/2014/main" id="{00000000-0008-0000-0400-00000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0</xdr:colOff>
      <xdr:row>57</xdr:row>
      <xdr:rowOff>14336</xdr:rowOff>
    </xdr:from>
    <xdr:to>
      <xdr:col>6</xdr:col>
      <xdr:colOff>547688</xdr:colOff>
      <xdr:row>59</xdr:row>
      <xdr:rowOff>51225</xdr:rowOff>
    </xdr:to>
    <xdr:sp macro="" textlink="">
      <xdr:nvSpPr>
        <xdr:cNvPr id="6" name="Shape 10">
          <a:extLst>
            <a:ext uri="{FF2B5EF4-FFF2-40B4-BE49-F238E27FC236}">
              <a16:creationId xmlns:a16="http://schemas.microsoft.com/office/drawing/2014/main" id="{00000000-0008-0000-0400-000006000000}"/>
            </a:ext>
          </a:extLst>
        </xdr:cNvPr>
        <xdr:cNvSpPr/>
      </xdr:nvSpPr>
      <xdr:spPr>
        <a:xfrm>
          <a:off x="0" y="10424601"/>
          <a:ext cx="4413717" cy="395477"/>
        </a:xfrm>
        <a:prstGeom prst="rect">
          <a:avLst/>
        </a:prstGeom>
        <a:noFill/>
        <a:ln>
          <a:noFill/>
        </a:ln>
      </xdr:spPr>
      <xdr:txBody>
        <a:bodyPr lIns="90000" tIns="45000" rIns="90000" bIns="45000" anchor="t" anchorCtr="0">
          <a:noAutofit/>
        </a:bodyPr>
        <a:lstStyle/>
        <a:p>
          <a:pPr marL="0" marR="0" lvl="0" indent="0" rtl="0">
            <a:lnSpc>
              <a:spcPct val="100000"/>
            </a:lnSpc>
            <a:spcBef>
              <a:spcPts val="0"/>
            </a:spcBef>
            <a:spcAft>
              <a:spcPts val="0"/>
            </a:spcAft>
            <a:buClr>
              <a:srgbClr val="000000"/>
            </a:buClr>
            <a:buSzPct val="25000"/>
            <a:buFont typeface="Calibri"/>
            <a:buNone/>
          </a:pPr>
          <a:r>
            <a:rPr lang="en-US" sz="1000" b="0" i="0" u="none" strike="noStrike" cap="none">
              <a:solidFill>
                <a:srgbClr val="000000"/>
              </a:solidFill>
              <a:latin typeface="Arial" panose="020B0604020202020204" pitchFamily="34" charset="0"/>
              <a:ea typeface="Calibri"/>
              <a:cs typeface="Arial" panose="020B0604020202020204" pitchFamily="34" charset="0"/>
              <a:sym typeface="Calibri"/>
            </a:rPr>
            <a:t>Rua Cônego Jerônimo Pimentel - 543</a:t>
          </a:r>
          <a:r>
            <a:rPr lang="en-US" sz="1000" b="0" i="0" u="none" strike="noStrike" cap="none" baseline="0">
              <a:solidFill>
                <a:srgbClr val="000000"/>
              </a:solidFill>
              <a:latin typeface="Arial" panose="020B0604020202020204" pitchFamily="34" charset="0"/>
              <a:ea typeface="Calibri"/>
              <a:cs typeface="Arial" panose="020B0604020202020204" pitchFamily="34" charset="0"/>
              <a:sym typeface="Calibri"/>
            </a:rPr>
            <a:t> - </a:t>
          </a:r>
          <a:r>
            <a:rPr lang="en-US" sz="1000" b="0" i="0" u="none" strike="noStrike" cap="none">
              <a:solidFill>
                <a:srgbClr val="000000"/>
              </a:solidFill>
              <a:latin typeface="Arial" panose="020B0604020202020204" pitchFamily="34" charset="0"/>
              <a:ea typeface="Calibri"/>
              <a:cs typeface="Arial" panose="020B0604020202020204" pitchFamily="34" charset="0"/>
              <a:sym typeface="Calibri"/>
            </a:rPr>
            <a:t>Umarizal, Belém - PA</a:t>
          </a:r>
        </a:p>
        <a:p>
          <a:pPr marL="0" marR="0" lvl="0" indent="0" rtl="0">
            <a:lnSpc>
              <a:spcPct val="100000"/>
            </a:lnSpc>
            <a:spcBef>
              <a:spcPts val="0"/>
            </a:spcBef>
            <a:spcAft>
              <a:spcPts val="0"/>
            </a:spcAft>
            <a:buClr>
              <a:srgbClr val="000000"/>
            </a:buClr>
            <a:buSzPct val="25000"/>
            <a:buFont typeface="Calibri"/>
            <a:buNone/>
          </a:pPr>
          <a:r>
            <a:rPr lang="en-US" sz="1000" b="0" i="0" u="none" strike="noStrike" cap="none">
              <a:solidFill>
                <a:srgbClr val="000000"/>
              </a:solidFill>
              <a:latin typeface="Arial" panose="020B0604020202020204" pitchFamily="34" charset="0"/>
              <a:ea typeface="Calibri"/>
              <a:cs typeface="Arial" panose="020B0604020202020204" pitchFamily="34" charset="0"/>
              <a:sym typeface="Calibri"/>
            </a:rPr>
            <a:t>CEP 66.055-000. (91) 3239 – 3800 /3845/ 3831.</a:t>
          </a:r>
        </a:p>
      </xdr:txBody>
    </xdr:sp>
    <xdr:clientData fLocksWithSheet="0"/>
  </xdr:twoCellAnchor>
  <xdr:twoCellAnchor>
    <xdr:from>
      <xdr:col>0</xdr:col>
      <xdr:colOff>21011</xdr:colOff>
      <xdr:row>59</xdr:row>
      <xdr:rowOff>79716</xdr:rowOff>
    </xdr:from>
    <xdr:to>
      <xdr:col>6</xdr:col>
      <xdr:colOff>2127850</xdr:colOff>
      <xdr:row>60</xdr:row>
      <xdr:rowOff>32412</xdr:rowOff>
    </xdr:to>
    <xdr:sp macro="" textlink="">
      <xdr:nvSpPr>
        <xdr:cNvPr id="7" name="Rectangle 91">
          <a:extLst>
            <a:ext uri="{FF2B5EF4-FFF2-40B4-BE49-F238E27FC236}">
              <a16:creationId xmlns:a16="http://schemas.microsoft.com/office/drawing/2014/main" id="{00000000-0008-0000-0400-000007000000}"/>
            </a:ext>
          </a:extLst>
        </xdr:cNvPr>
        <xdr:cNvSpPr>
          <a:spLocks noChangeArrowheads="1"/>
        </xdr:cNvSpPr>
      </xdr:nvSpPr>
      <xdr:spPr bwMode="auto">
        <a:xfrm>
          <a:off x="21011" y="10848569"/>
          <a:ext cx="5972868" cy="131990"/>
        </a:xfrm>
        <a:prstGeom prst="rect">
          <a:avLst/>
        </a:prstGeom>
        <a:solidFill>
          <a:srgbClr val="002060"/>
        </a:solidFill>
        <a:ln>
          <a:noFill/>
        </a:ln>
        <a:effectLst/>
        <a:extLst>
          <a:ext uri="{91240B29-F687-4F45-9708-019B960494DF}">
            <a14:hiddenLine xmlns:a14="http://schemas.microsoft.com/office/drawing/2010/main" w="38100">
              <a:solidFill>
                <a:srgbClr val="F2F2F2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28398" dir="3806097" algn="ctr" rotWithShape="0">
                  <a:srgbClr val="4E6128">
                    <a:alpha val="50000"/>
                  </a:srgbClr>
                </a:outerShdw>
              </a:effectLst>
            </a14:hiddenEffects>
          </a:ext>
        </a:extLst>
      </xdr:spPr>
    </xdr:sp>
    <xdr:clientData/>
  </xdr:twoCellAnchor>
  <xdr:twoCellAnchor>
    <xdr:from>
      <xdr:col>0</xdr:col>
      <xdr:colOff>21278</xdr:colOff>
      <xdr:row>60</xdr:row>
      <xdr:rowOff>42658</xdr:rowOff>
    </xdr:from>
    <xdr:to>
      <xdr:col>8</xdr:col>
      <xdr:colOff>49059</xdr:colOff>
      <xdr:row>61</xdr:row>
      <xdr:rowOff>0</xdr:rowOff>
    </xdr:to>
    <xdr:sp macro="" textlink="">
      <xdr:nvSpPr>
        <xdr:cNvPr id="8" name="Rectangle 92">
          <a:extLst>
            <a:ext uri="{FF2B5EF4-FFF2-40B4-BE49-F238E27FC236}">
              <a16:creationId xmlns:a16="http://schemas.microsoft.com/office/drawing/2014/main" id="{00000000-0008-0000-0400-000008000000}"/>
            </a:ext>
          </a:extLst>
        </xdr:cNvPr>
        <xdr:cNvSpPr>
          <a:spLocks noChangeArrowheads="1"/>
        </xdr:cNvSpPr>
      </xdr:nvSpPr>
      <xdr:spPr bwMode="auto">
        <a:xfrm>
          <a:off x="21278" y="10990805"/>
          <a:ext cx="6628046" cy="136636"/>
        </a:xfrm>
        <a:prstGeom prst="rect">
          <a:avLst/>
        </a:prstGeom>
        <a:solidFill>
          <a:srgbClr val="C00000"/>
        </a:solidFill>
        <a:ln>
          <a:noFill/>
        </a:ln>
        <a:effectLst/>
        <a:extLst>
          <a:ext uri="{91240B29-F687-4F45-9708-019B960494DF}">
            <a14:hiddenLine xmlns:a14="http://schemas.microsoft.com/office/drawing/2010/main" w="38100">
              <a:solidFill>
                <a:srgbClr val="F2F2F2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28398" dir="3806097" algn="ctr" rotWithShape="0">
                  <a:srgbClr val="4E6128">
                    <a:alpha val="50000"/>
                  </a:srgbClr>
                </a:outerShdw>
              </a:effectLst>
            </a14:hiddenEffects>
          </a:ext>
        </a:extLst>
      </xdr:spPr>
    </xdr:sp>
    <xdr:clientData/>
  </xdr:twoCellAnchor>
  <xdr:twoCellAnchor editAs="oneCell">
    <xdr:from>
      <xdr:col>14</xdr:col>
      <xdr:colOff>318166</xdr:colOff>
      <xdr:row>56</xdr:row>
      <xdr:rowOff>41487</xdr:rowOff>
    </xdr:from>
    <xdr:to>
      <xdr:col>15</xdr:col>
      <xdr:colOff>634066</xdr:colOff>
      <xdr:row>60</xdr:row>
      <xdr:rowOff>172046</xdr:rowOff>
    </xdr:to>
    <xdr:pic>
      <xdr:nvPicPr>
        <xdr:cNvPr id="9" name="Imagem 8">
          <a:extLst>
            <a:ext uri="{FF2B5EF4-FFF2-40B4-BE49-F238E27FC236}">
              <a16:creationId xmlns:a16="http://schemas.microsoft.com/office/drawing/2014/main" id="{00000000-0008-0000-04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795666" y="10272458"/>
          <a:ext cx="999459" cy="847735"/>
        </a:xfrm>
        <a:prstGeom prst="rect">
          <a:avLst/>
        </a:prstGeom>
      </xdr:spPr>
    </xdr:pic>
    <xdr:clientData/>
  </xdr:twoCellAnchor>
  <xdr:twoCellAnchor editAs="oneCell">
    <xdr:from>
      <xdr:col>12</xdr:col>
      <xdr:colOff>476250</xdr:colOff>
      <xdr:row>57</xdr:row>
      <xdr:rowOff>22812</xdr:rowOff>
    </xdr:from>
    <xdr:to>
      <xdr:col>14</xdr:col>
      <xdr:colOff>276878</xdr:colOff>
      <xdr:row>60</xdr:row>
      <xdr:rowOff>87706</xdr:rowOff>
    </xdr:to>
    <xdr:pic>
      <xdr:nvPicPr>
        <xdr:cNvPr id="10" name="Imagem 9">
          <a:extLst>
            <a:ext uri="{FF2B5EF4-FFF2-40B4-BE49-F238E27FC236}">
              <a16:creationId xmlns:a16="http://schemas.microsoft.com/office/drawing/2014/main" id="{00000000-0008-0000-04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86632" y="10433077"/>
          <a:ext cx="1167746" cy="602776"/>
        </a:xfrm>
        <a:prstGeom prst="rect">
          <a:avLst/>
        </a:prstGeom>
      </xdr:spPr>
    </xdr:pic>
    <xdr:clientData/>
  </xdr:twoCellAnchor>
  <xdr:twoCellAnchor editAs="oneCell">
    <xdr:from>
      <xdr:col>0</xdr:col>
      <xdr:colOff>71438</xdr:colOff>
      <xdr:row>9</xdr:row>
      <xdr:rowOff>113353</xdr:rowOff>
    </xdr:from>
    <xdr:to>
      <xdr:col>2</xdr:col>
      <xdr:colOff>337044</xdr:colOff>
      <xdr:row>12</xdr:row>
      <xdr:rowOff>7908</xdr:rowOff>
    </xdr:to>
    <xdr:pic>
      <xdr:nvPicPr>
        <xdr:cNvPr id="11" name="Imagem 10">
          <a:extLst>
            <a:ext uri="{FF2B5EF4-FFF2-40B4-BE49-F238E27FC236}">
              <a16:creationId xmlns:a16="http://schemas.microsoft.com/office/drawing/2014/main" id="{64774E18-D977-4702-B064-024AE7BBAFC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1438" y="1882282"/>
          <a:ext cx="1993713" cy="466055"/>
        </a:xfrm>
        <a:prstGeom prst="rect">
          <a:avLst/>
        </a:prstGeom>
      </xdr:spPr>
    </xdr:pic>
    <xdr:clientData/>
  </xdr:twoCellAnchor>
  <xdr:twoCellAnchor editAs="oneCell">
    <xdr:from>
      <xdr:col>12</xdr:col>
      <xdr:colOff>148305</xdr:colOff>
      <xdr:row>9</xdr:row>
      <xdr:rowOff>108856</xdr:rowOff>
    </xdr:from>
    <xdr:to>
      <xdr:col>15</xdr:col>
      <xdr:colOff>502855</xdr:colOff>
      <xdr:row>12</xdr:row>
      <xdr:rowOff>24477</xdr:rowOff>
    </xdr:to>
    <xdr:pic>
      <xdr:nvPicPr>
        <xdr:cNvPr id="12" name="Imagem 11">
          <a:extLst>
            <a:ext uri="{FF2B5EF4-FFF2-40B4-BE49-F238E27FC236}">
              <a16:creationId xmlns:a16="http://schemas.microsoft.com/office/drawing/2014/main" id="{D1FD5192-209A-4B09-ACC2-DBBD67AD164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265091" y="1877785"/>
          <a:ext cx="2395621" cy="487121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12</xdr:row>
      <xdr:rowOff>61231</xdr:rowOff>
    </xdr:from>
    <xdr:to>
      <xdr:col>16</xdr:col>
      <xdr:colOff>0</xdr:colOff>
      <xdr:row>13</xdr:row>
      <xdr:rowOff>0</xdr:rowOff>
    </xdr:to>
    <xdr:sp macro="" textlink="">
      <xdr:nvSpPr>
        <xdr:cNvPr id="13" name="Rectangle 1">
          <a:extLst>
            <a:ext uri="{FF2B5EF4-FFF2-40B4-BE49-F238E27FC236}">
              <a16:creationId xmlns:a16="http://schemas.microsoft.com/office/drawing/2014/main" id="{F919362A-7306-4C63-93D9-08F88E16432E}"/>
            </a:ext>
          </a:extLst>
        </xdr:cNvPr>
        <xdr:cNvSpPr>
          <a:spLocks noChangeArrowheads="1"/>
        </xdr:cNvSpPr>
      </xdr:nvSpPr>
      <xdr:spPr bwMode="auto">
        <a:xfrm>
          <a:off x="0" y="2401660"/>
          <a:ext cx="11838214" cy="129269"/>
        </a:xfrm>
        <a:prstGeom prst="rect">
          <a:avLst/>
        </a:prstGeom>
        <a:solidFill>
          <a:srgbClr val="002060"/>
        </a:solidFill>
        <a:ln w="38100">
          <a:solidFill>
            <a:srgbClr val="F2F2F2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28398" dir="3806097" algn="ctr" rotWithShape="0">
                  <a:srgbClr val="4E6128">
                    <a:alpha val="50000"/>
                  </a:srgbClr>
                </a:outerShdw>
              </a:effectLst>
            </a14:hiddenEffects>
          </a:ext>
        </a:extLst>
      </xdr:spPr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91618</xdr:colOff>
      <xdr:row>10</xdr:row>
      <xdr:rowOff>169471</xdr:rowOff>
    </xdr:from>
    <xdr:to>
      <xdr:col>12</xdr:col>
      <xdr:colOff>585106</xdr:colOff>
      <xdr:row>54</xdr:row>
      <xdr:rowOff>136071</xdr:rowOff>
    </xdr:to>
    <xdr:graphicFrame macro="">
      <xdr:nvGraphicFramePr>
        <xdr:cNvPr id="4" name="Gráfico 3">
          <a:extLst>
            <a:ext uri="{FF2B5EF4-FFF2-40B4-BE49-F238E27FC236}">
              <a16:creationId xmlns:a16="http://schemas.microsoft.com/office/drawing/2014/main" id="{00000000-0008-0000-0500-00000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55</xdr:row>
      <xdr:rowOff>157857</xdr:rowOff>
    </xdr:from>
    <xdr:to>
      <xdr:col>2</xdr:col>
      <xdr:colOff>627063</xdr:colOff>
      <xdr:row>58</xdr:row>
      <xdr:rowOff>21854</xdr:rowOff>
    </xdr:to>
    <xdr:sp macro="" textlink="">
      <xdr:nvSpPr>
        <xdr:cNvPr id="3" name="Shape 10">
          <a:extLst>
            <a:ext uri="{FF2B5EF4-FFF2-40B4-BE49-F238E27FC236}">
              <a16:creationId xmlns:a16="http://schemas.microsoft.com/office/drawing/2014/main" id="{00000000-0008-0000-0500-000003000000}"/>
            </a:ext>
          </a:extLst>
        </xdr:cNvPr>
        <xdr:cNvSpPr/>
      </xdr:nvSpPr>
      <xdr:spPr>
        <a:xfrm>
          <a:off x="0" y="9995821"/>
          <a:ext cx="4409849" cy="394676"/>
        </a:xfrm>
        <a:prstGeom prst="rect">
          <a:avLst/>
        </a:prstGeom>
        <a:noFill/>
        <a:ln>
          <a:noFill/>
        </a:ln>
      </xdr:spPr>
      <xdr:txBody>
        <a:bodyPr lIns="90000" tIns="45000" rIns="90000" bIns="45000" anchor="t" anchorCtr="0">
          <a:noAutofit/>
        </a:bodyPr>
        <a:lstStyle/>
        <a:p>
          <a:pPr marL="0" marR="0" lvl="0" indent="0" rtl="0">
            <a:lnSpc>
              <a:spcPct val="100000"/>
            </a:lnSpc>
            <a:spcBef>
              <a:spcPts val="0"/>
            </a:spcBef>
            <a:spcAft>
              <a:spcPts val="0"/>
            </a:spcAft>
            <a:buClr>
              <a:srgbClr val="000000"/>
            </a:buClr>
            <a:buSzPct val="25000"/>
            <a:buFont typeface="Calibri"/>
            <a:buNone/>
          </a:pPr>
          <a:r>
            <a:rPr lang="en-US" sz="1200" b="0" i="0" u="none" strike="noStrike" cap="none">
              <a:solidFill>
                <a:srgbClr val="000000"/>
              </a:solidFill>
              <a:latin typeface="Arial" panose="020B0604020202020204" pitchFamily="34" charset="0"/>
              <a:ea typeface="Calibri"/>
              <a:cs typeface="Arial" panose="020B0604020202020204" pitchFamily="34" charset="0"/>
              <a:sym typeface="Calibri"/>
            </a:rPr>
            <a:t>Rua Cônego Jerônimo Pimentel - 543</a:t>
          </a:r>
          <a:r>
            <a:rPr lang="en-US" sz="1200" b="0" i="0" u="none" strike="noStrike" cap="none" baseline="0">
              <a:solidFill>
                <a:srgbClr val="000000"/>
              </a:solidFill>
              <a:latin typeface="Arial" panose="020B0604020202020204" pitchFamily="34" charset="0"/>
              <a:ea typeface="Calibri"/>
              <a:cs typeface="Arial" panose="020B0604020202020204" pitchFamily="34" charset="0"/>
              <a:sym typeface="Calibri"/>
            </a:rPr>
            <a:t> - </a:t>
          </a:r>
          <a:r>
            <a:rPr lang="en-US" sz="1200" b="0" i="0" u="none" strike="noStrike" cap="none">
              <a:solidFill>
                <a:srgbClr val="000000"/>
              </a:solidFill>
              <a:latin typeface="Arial" panose="020B0604020202020204" pitchFamily="34" charset="0"/>
              <a:ea typeface="Calibri"/>
              <a:cs typeface="Arial" panose="020B0604020202020204" pitchFamily="34" charset="0"/>
              <a:sym typeface="Calibri"/>
            </a:rPr>
            <a:t>Umarizal, Belém - PA</a:t>
          </a:r>
        </a:p>
        <a:p>
          <a:pPr marL="0" marR="0" lvl="0" indent="0" rtl="0">
            <a:lnSpc>
              <a:spcPct val="100000"/>
            </a:lnSpc>
            <a:spcBef>
              <a:spcPts val="0"/>
            </a:spcBef>
            <a:spcAft>
              <a:spcPts val="0"/>
            </a:spcAft>
            <a:buClr>
              <a:srgbClr val="000000"/>
            </a:buClr>
            <a:buSzPct val="25000"/>
            <a:buFont typeface="Calibri"/>
            <a:buNone/>
          </a:pPr>
          <a:r>
            <a:rPr lang="en-US" sz="1200" b="0" i="0" u="none" strike="noStrike" cap="none">
              <a:solidFill>
                <a:srgbClr val="000000"/>
              </a:solidFill>
              <a:latin typeface="Arial" panose="020B0604020202020204" pitchFamily="34" charset="0"/>
              <a:ea typeface="Calibri"/>
              <a:cs typeface="Arial" panose="020B0604020202020204" pitchFamily="34" charset="0"/>
              <a:sym typeface="Calibri"/>
            </a:rPr>
            <a:t>CEP 66.055-000. (91) 3239 – 3800 /3845/ 3831.</a:t>
          </a:r>
        </a:p>
      </xdr:txBody>
    </xdr:sp>
    <xdr:clientData fLocksWithSheet="0"/>
  </xdr:twoCellAnchor>
  <xdr:twoCellAnchor>
    <xdr:from>
      <xdr:col>0</xdr:col>
      <xdr:colOff>0</xdr:colOff>
      <xdr:row>58</xdr:row>
      <xdr:rowOff>110537</xdr:rowOff>
    </xdr:from>
    <xdr:to>
      <xdr:col>5</xdr:col>
      <xdr:colOff>140607</xdr:colOff>
      <xdr:row>59</xdr:row>
      <xdr:rowOff>60342</xdr:rowOff>
    </xdr:to>
    <xdr:sp macro="" textlink="">
      <xdr:nvSpPr>
        <xdr:cNvPr id="5" name="Rectangle 91">
          <a:extLst>
            <a:ext uri="{FF2B5EF4-FFF2-40B4-BE49-F238E27FC236}">
              <a16:creationId xmlns:a16="http://schemas.microsoft.com/office/drawing/2014/main" id="{00000000-0008-0000-0500-000005000000}"/>
            </a:ext>
          </a:extLst>
        </xdr:cNvPr>
        <xdr:cNvSpPr>
          <a:spLocks noChangeArrowheads="1"/>
        </xdr:cNvSpPr>
      </xdr:nvSpPr>
      <xdr:spPr bwMode="auto">
        <a:xfrm>
          <a:off x="0" y="10479180"/>
          <a:ext cx="5964464" cy="126698"/>
        </a:xfrm>
        <a:prstGeom prst="rect">
          <a:avLst/>
        </a:prstGeom>
        <a:solidFill>
          <a:srgbClr val="002060"/>
        </a:solidFill>
        <a:ln>
          <a:noFill/>
        </a:ln>
        <a:effectLst/>
        <a:extLst>
          <a:ext uri="{91240B29-F687-4F45-9708-019B960494DF}">
            <a14:hiddenLine xmlns:a14="http://schemas.microsoft.com/office/drawing/2010/main" w="38100">
              <a:solidFill>
                <a:srgbClr val="F2F2F2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28398" dir="3806097" algn="ctr" rotWithShape="0">
                  <a:srgbClr val="4E6128">
                    <a:alpha val="50000"/>
                  </a:srgbClr>
                </a:outerShdw>
              </a:effectLst>
            </a14:hiddenEffects>
          </a:ext>
        </a:extLst>
      </xdr:spPr>
    </xdr:sp>
    <xdr:clientData/>
  </xdr:twoCellAnchor>
  <xdr:twoCellAnchor>
    <xdr:from>
      <xdr:col>0</xdr:col>
      <xdr:colOff>267</xdr:colOff>
      <xdr:row>59</xdr:row>
      <xdr:rowOff>70588</xdr:rowOff>
    </xdr:from>
    <xdr:to>
      <xdr:col>6</xdr:col>
      <xdr:colOff>123298</xdr:colOff>
      <xdr:row>60</xdr:row>
      <xdr:rowOff>132</xdr:rowOff>
    </xdr:to>
    <xdr:sp macro="" textlink="">
      <xdr:nvSpPr>
        <xdr:cNvPr id="6" name="Rectangle 92">
          <a:extLst>
            <a:ext uri="{FF2B5EF4-FFF2-40B4-BE49-F238E27FC236}">
              <a16:creationId xmlns:a16="http://schemas.microsoft.com/office/drawing/2014/main" id="{00000000-0008-0000-0500-000006000000}"/>
            </a:ext>
          </a:extLst>
        </xdr:cNvPr>
        <xdr:cNvSpPr>
          <a:spLocks noChangeArrowheads="1"/>
        </xdr:cNvSpPr>
      </xdr:nvSpPr>
      <xdr:spPr bwMode="auto">
        <a:xfrm>
          <a:off x="267" y="10616124"/>
          <a:ext cx="6627245" cy="106437"/>
        </a:xfrm>
        <a:prstGeom prst="rect">
          <a:avLst/>
        </a:prstGeom>
        <a:solidFill>
          <a:srgbClr val="C00000"/>
        </a:solidFill>
        <a:ln>
          <a:noFill/>
        </a:ln>
        <a:effectLst/>
        <a:extLst>
          <a:ext uri="{91240B29-F687-4F45-9708-019B960494DF}">
            <a14:hiddenLine xmlns:a14="http://schemas.microsoft.com/office/drawing/2010/main" w="38100">
              <a:solidFill>
                <a:srgbClr val="F2F2F2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28398" dir="3806097" algn="ctr" rotWithShape="0">
                  <a:srgbClr val="4E6128">
                    <a:alpha val="50000"/>
                  </a:srgbClr>
                </a:outerShdw>
              </a:effectLst>
            </a14:hiddenEffects>
          </a:ext>
        </a:extLst>
      </xdr:spPr>
    </xdr:sp>
    <xdr:clientData/>
  </xdr:twoCellAnchor>
  <xdr:twoCellAnchor editAs="oneCell">
    <xdr:from>
      <xdr:col>11</xdr:col>
      <xdr:colOff>231322</xdr:colOff>
      <xdr:row>55</xdr:row>
      <xdr:rowOff>48159</xdr:rowOff>
    </xdr:from>
    <xdr:to>
      <xdr:col>12</xdr:col>
      <xdr:colOff>481863</xdr:colOff>
      <xdr:row>59</xdr:row>
      <xdr:rowOff>86173</xdr:rowOff>
    </xdr:to>
    <xdr:pic>
      <xdr:nvPicPr>
        <xdr:cNvPr id="7" name="Imagem 6">
          <a:extLst>
            <a:ext uri="{FF2B5EF4-FFF2-40B4-BE49-F238E27FC236}">
              <a16:creationId xmlns:a16="http://schemas.microsoft.com/office/drawing/2014/main" id="{00000000-0008-0000-05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137322" y="9886123"/>
          <a:ext cx="930898" cy="745586"/>
        </a:xfrm>
        <a:prstGeom prst="rect">
          <a:avLst/>
        </a:prstGeom>
      </xdr:spPr>
    </xdr:pic>
    <xdr:clientData/>
  </xdr:twoCellAnchor>
  <xdr:twoCellAnchor editAs="oneCell">
    <xdr:from>
      <xdr:col>9</xdr:col>
      <xdr:colOff>403678</xdr:colOff>
      <xdr:row>56</xdr:row>
      <xdr:rowOff>8247</xdr:rowOff>
    </xdr:from>
    <xdr:to>
      <xdr:col>11</xdr:col>
      <xdr:colOff>29337</xdr:colOff>
      <xdr:row>58</xdr:row>
      <xdr:rowOff>169265</xdr:rowOff>
    </xdr:to>
    <xdr:pic>
      <xdr:nvPicPr>
        <xdr:cNvPr id="8" name="Imagem 7">
          <a:extLst>
            <a:ext uri="{FF2B5EF4-FFF2-40B4-BE49-F238E27FC236}">
              <a16:creationId xmlns:a16="http://schemas.microsoft.com/office/drawing/2014/main" id="{00000000-0008-0000-05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948964" y="10023104"/>
          <a:ext cx="986373" cy="514804"/>
        </a:xfrm>
        <a:prstGeom prst="rect">
          <a:avLst/>
        </a:prstGeom>
      </xdr:spPr>
    </xdr:pic>
    <xdr:clientData/>
  </xdr:twoCellAnchor>
  <xdr:twoCellAnchor editAs="oneCell">
    <xdr:from>
      <xdr:col>0</xdr:col>
      <xdr:colOff>71438</xdr:colOff>
      <xdr:row>6</xdr:row>
      <xdr:rowOff>147372</xdr:rowOff>
    </xdr:from>
    <xdr:to>
      <xdr:col>0</xdr:col>
      <xdr:colOff>2051544</xdr:colOff>
      <xdr:row>9</xdr:row>
      <xdr:rowOff>89552</xdr:rowOff>
    </xdr:to>
    <xdr:pic>
      <xdr:nvPicPr>
        <xdr:cNvPr id="9" name="Imagem 8">
          <a:extLst>
            <a:ext uri="{FF2B5EF4-FFF2-40B4-BE49-F238E27FC236}">
              <a16:creationId xmlns:a16="http://schemas.microsoft.com/office/drawing/2014/main" id="{58BE8B12-01A9-425F-86AD-AD36908F749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1438" y="1322122"/>
          <a:ext cx="1980106" cy="466055"/>
        </a:xfrm>
        <a:prstGeom prst="rect">
          <a:avLst/>
        </a:prstGeom>
      </xdr:spPr>
    </xdr:pic>
    <xdr:clientData/>
  </xdr:twoCellAnchor>
  <xdr:twoCellAnchor editAs="oneCell">
    <xdr:from>
      <xdr:col>9</xdr:col>
      <xdr:colOff>225812</xdr:colOff>
      <xdr:row>6</xdr:row>
      <xdr:rowOff>127000</xdr:rowOff>
    </xdr:from>
    <xdr:to>
      <xdr:col>12</xdr:col>
      <xdr:colOff>583164</xdr:colOff>
      <xdr:row>9</xdr:row>
      <xdr:rowOff>90246</xdr:rowOff>
    </xdr:to>
    <xdr:pic>
      <xdr:nvPicPr>
        <xdr:cNvPr id="10" name="Imagem 9">
          <a:extLst>
            <a:ext uri="{FF2B5EF4-FFF2-40B4-BE49-F238E27FC236}">
              <a16:creationId xmlns:a16="http://schemas.microsoft.com/office/drawing/2014/main" id="{8FCF4148-39EA-4CA0-80F0-1F023E1479A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782437" y="1301750"/>
          <a:ext cx="2405227" cy="487121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9</xdr:row>
      <xdr:rowOff>142875</xdr:rowOff>
    </xdr:from>
    <xdr:to>
      <xdr:col>12</xdr:col>
      <xdr:colOff>619125</xdr:colOff>
      <xdr:row>10</xdr:row>
      <xdr:rowOff>111125</xdr:rowOff>
    </xdr:to>
    <xdr:sp macro="" textlink="">
      <xdr:nvSpPr>
        <xdr:cNvPr id="11" name="Rectangle 1">
          <a:extLst>
            <a:ext uri="{FF2B5EF4-FFF2-40B4-BE49-F238E27FC236}">
              <a16:creationId xmlns:a16="http://schemas.microsoft.com/office/drawing/2014/main" id="{C8F6F010-AE19-449D-A6C8-FF9D651FAC87}"/>
            </a:ext>
          </a:extLst>
        </xdr:cNvPr>
        <xdr:cNvSpPr>
          <a:spLocks noChangeArrowheads="1"/>
        </xdr:cNvSpPr>
      </xdr:nvSpPr>
      <xdr:spPr bwMode="auto">
        <a:xfrm>
          <a:off x="0" y="1841500"/>
          <a:ext cx="11223625" cy="142875"/>
        </a:xfrm>
        <a:prstGeom prst="rect">
          <a:avLst/>
        </a:prstGeom>
        <a:solidFill>
          <a:srgbClr val="002060"/>
        </a:solidFill>
        <a:ln w="38100">
          <a:solidFill>
            <a:srgbClr val="F2F2F2"/>
          </a:solidFill>
          <a:miter lim="800000"/>
          <a:headEnd/>
          <a:tailEnd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28398" dir="3806097" algn="ctr" rotWithShape="0">
                  <a:srgbClr val="4E6128">
                    <a:alpha val="50000"/>
                  </a:srgbClr>
                </a:outerShdw>
              </a:effectLst>
            </a14:hiddenEffects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Vidro Esfumaçado">
      <a:fillStyleLst>
        <a:solidFill>
          <a:schemeClr val="phClr"/>
        </a:solidFill>
        <a:gradFill rotWithShape="1">
          <a:gsLst>
            <a:gs pos="0">
              <a:schemeClr val="phClr">
                <a:tint val="83000"/>
                <a:shade val="100000"/>
                <a:satMod val="100000"/>
              </a:schemeClr>
            </a:gs>
            <a:gs pos="100000">
              <a:schemeClr val="phClr">
                <a:tint val="61000"/>
                <a:alpha val="100000"/>
                <a:satMod val="180000"/>
              </a:schemeClr>
            </a:gs>
          </a:gsLst>
          <a:path path="circle">
            <a:fillToRect l="100000" t="100000" r="100000" b="100000"/>
          </a:path>
        </a:gradFill>
        <a:gradFill rotWithShape="1">
          <a:gsLst>
            <a:gs pos="0">
              <a:schemeClr val="phClr">
                <a:shade val="85000"/>
              </a:schemeClr>
            </a:gs>
            <a:gs pos="100000">
              <a:schemeClr val="phClr">
                <a:tint val="90000"/>
                <a:alpha val="100000"/>
                <a:satMod val="180000"/>
              </a:schemeClr>
            </a:gs>
          </a:gsLst>
          <a:path path="circle">
            <a:fillToRect l="100000" t="100000" r="100000" b="100000"/>
          </a:path>
        </a:gradFill>
      </a:fillStyleLst>
      <a:lnStyleLst>
        <a:ln w="9525" cap="flat" cmpd="sng" algn="ctr">
          <a:solidFill>
            <a:schemeClr val="phClr"/>
          </a:solidFill>
          <a:prstDash val="solid"/>
        </a:ln>
        <a:ln w="10795" cap="flat" cmpd="sng" algn="ctr">
          <a:solidFill>
            <a:schemeClr val="phClr"/>
          </a:solidFill>
          <a:prstDash val="solid"/>
        </a:ln>
        <a:ln w="15240" cap="flat" cmpd="sng" algn="ctr">
          <a:solidFill>
            <a:schemeClr val="phClr">
              <a:tint val="25000"/>
              <a:alpha val="25000"/>
            </a:schemeClr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44450" dist="21590" dir="5400000" rotWithShape="0">
              <a:srgbClr val="000000">
                <a:alpha val="40000"/>
              </a:srgbClr>
            </a:outerShdw>
          </a:effectLst>
          <a:scene3d>
            <a:camera prst="orthographicFront">
              <a:rot lat="0" lon="0" rev="0"/>
            </a:camera>
            <a:lightRig rig="flat" dir="t">
              <a:rot lat="0" lon="0" rev="3600000"/>
            </a:lightRig>
          </a:scene3d>
          <a:sp3d prstMaterial="flat">
            <a:bevelT w="28575" h="41275" prst="coolSlant"/>
          </a:sp3d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1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Planilha1"/>
  <dimension ref="A1:N21"/>
  <sheetViews>
    <sheetView zoomScaleNormal="100" workbookViewId="0">
      <selection activeCell="H8" sqref="H8"/>
    </sheetView>
  </sheetViews>
  <sheetFormatPr defaultRowHeight="14.25"/>
  <cols>
    <col min="1" max="11" width="9" style="4"/>
  </cols>
  <sheetData>
    <row r="1" spans="1:14" s="4" customFormat="1">
      <c r="A1" s="196"/>
      <c r="B1" s="197"/>
      <c r="C1" s="197"/>
      <c r="D1" s="197"/>
      <c r="E1" s="197"/>
      <c r="F1" s="197"/>
      <c r="G1" s="197"/>
      <c r="H1" s="197"/>
      <c r="I1" s="197"/>
      <c r="J1" s="197"/>
      <c r="K1" s="197"/>
      <c r="L1" s="197"/>
      <c r="M1" s="197"/>
      <c r="N1" s="198"/>
    </row>
    <row r="2" spans="1:14" s="4" customFormat="1">
      <c r="A2" s="199"/>
      <c r="B2" s="200"/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  <c r="N2" s="201"/>
    </row>
    <row r="3" spans="1:14" s="4" customFormat="1">
      <c r="A3" s="199"/>
      <c r="B3" s="200"/>
      <c r="C3" s="200"/>
      <c r="D3" s="200"/>
      <c r="E3" s="200"/>
      <c r="F3" s="200"/>
      <c r="G3" s="200"/>
      <c r="H3" s="200"/>
      <c r="I3" s="200"/>
      <c r="J3" s="200"/>
      <c r="K3" s="200"/>
      <c r="L3" s="200"/>
      <c r="M3" s="200"/>
      <c r="N3" s="201"/>
    </row>
    <row r="4" spans="1:14" s="4" customFormat="1">
      <c r="A4" s="199"/>
      <c r="B4" s="200"/>
      <c r="C4" s="200"/>
      <c r="D4" s="200"/>
      <c r="E4" s="200"/>
      <c r="F4" s="200"/>
      <c r="G4" s="200"/>
      <c r="H4" s="200"/>
      <c r="I4" s="200"/>
      <c r="J4" s="200"/>
      <c r="K4" s="200"/>
      <c r="L4" s="200"/>
      <c r="M4" s="200"/>
      <c r="N4" s="201"/>
    </row>
    <row r="5" spans="1:14" ht="24" customHeight="1">
      <c r="A5" s="199"/>
      <c r="B5" s="200"/>
      <c r="C5" s="200"/>
      <c r="D5" s="200"/>
      <c r="E5" s="200"/>
      <c r="F5" s="200"/>
      <c r="G5" s="200"/>
      <c r="H5" s="200"/>
      <c r="I5" s="200"/>
      <c r="J5" s="200"/>
      <c r="K5" s="200"/>
      <c r="L5" s="200"/>
      <c r="M5" s="200"/>
      <c r="N5" s="201"/>
    </row>
    <row r="6" spans="1:14">
      <c r="A6" s="199"/>
      <c r="B6" s="200"/>
      <c r="C6" s="200"/>
      <c r="D6" s="200"/>
      <c r="E6" s="200"/>
      <c r="F6" s="200"/>
      <c r="G6" s="200"/>
      <c r="H6" s="200"/>
      <c r="I6" s="200"/>
      <c r="J6" s="200"/>
      <c r="K6" s="200"/>
      <c r="L6" s="200"/>
      <c r="M6" s="200"/>
      <c r="N6" s="201"/>
    </row>
    <row r="7" spans="1:14">
      <c r="A7" s="199"/>
      <c r="B7" s="200"/>
      <c r="C7" s="200"/>
      <c r="D7" s="200"/>
      <c r="E7" s="200"/>
      <c r="F7" s="200"/>
      <c r="G7" s="200"/>
      <c r="H7" s="200"/>
      <c r="I7" s="200"/>
      <c r="J7" s="200"/>
      <c r="K7" s="200"/>
      <c r="L7" s="200"/>
      <c r="M7" s="200"/>
      <c r="N7" s="201"/>
    </row>
    <row r="8" spans="1:14">
      <c r="A8" s="199"/>
      <c r="B8" s="200"/>
      <c r="C8" s="200"/>
      <c r="D8" s="200"/>
      <c r="E8" s="200"/>
      <c r="F8" s="200"/>
      <c r="G8" s="200"/>
      <c r="H8" s="200"/>
      <c r="I8" s="200"/>
      <c r="J8" s="200"/>
      <c r="K8" s="200"/>
      <c r="L8" s="200"/>
      <c r="M8" s="200"/>
      <c r="N8" s="201"/>
    </row>
    <row r="9" spans="1:14" ht="21" customHeight="1">
      <c r="A9" s="199"/>
      <c r="B9" s="200"/>
      <c r="C9" s="200"/>
      <c r="D9" s="200"/>
      <c r="E9" s="200"/>
      <c r="F9" s="200"/>
      <c r="G9" s="200"/>
      <c r="H9" s="200"/>
      <c r="I9" s="200"/>
      <c r="J9" s="200"/>
      <c r="K9" s="200"/>
      <c r="L9" s="200"/>
      <c r="M9" s="200"/>
      <c r="N9" s="201"/>
    </row>
    <row r="10" spans="1:14">
      <c r="A10" s="199"/>
      <c r="B10" s="200"/>
      <c r="C10" s="200"/>
      <c r="D10" s="200"/>
      <c r="E10" s="200"/>
      <c r="F10" s="200"/>
      <c r="G10" s="200"/>
      <c r="H10" s="200"/>
      <c r="I10" s="200"/>
      <c r="J10" s="200"/>
      <c r="K10" s="200"/>
      <c r="L10" s="200"/>
      <c r="M10" s="200"/>
      <c r="N10" s="201"/>
    </row>
    <row r="11" spans="1:14" ht="21" customHeight="1">
      <c r="A11" s="199"/>
      <c r="B11" s="200"/>
      <c r="C11" s="200"/>
      <c r="D11" s="200"/>
      <c r="E11" s="200"/>
      <c r="F11" s="200"/>
      <c r="G11" s="200"/>
      <c r="H11" s="200"/>
      <c r="I11" s="200"/>
      <c r="J11" s="200"/>
      <c r="K11" s="200"/>
      <c r="L11" s="200"/>
      <c r="M11" s="200"/>
      <c r="N11" s="201"/>
    </row>
    <row r="12" spans="1:14">
      <c r="A12" s="199"/>
      <c r="B12" s="200"/>
      <c r="C12" s="200"/>
      <c r="D12" s="200"/>
      <c r="E12" s="200"/>
      <c r="F12" s="200"/>
      <c r="G12" s="200"/>
      <c r="H12" s="200"/>
      <c r="I12" s="200"/>
      <c r="J12" s="200"/>
      <c r="K12" s="200"/>
      <c r="L12" s="200"/>
      <c r="M12" s="200"/>
      <c r="N12" s="201"/>
    </row>
    <row r="13" spans="1:14" ht="21" customHeight="1">
      <c r="A13" s="199"/>
      <c r="B13" s="200"/>
      <c r="C13" s="200"/>
      <c r="D13" s="200"/>
      <c r="E13" s="200"/>
      <c r="F13" s="200"/>
      <c r="G13" s="200"/>
      <c r="H13" s="200"/>
      <c r="I13" s="200"/>
      <c r="J13" s="200"/>
      <c r="K13" s="200"/>
      <c r="L13" s="200"/>
      <c r="M13" s="200"/>
      <c r="N13" s="201"/>
    </row>
    <row r="14" spans="1:14">
      <c r="A14" s="199"/>
      <c r="B14" s="200"/>
      <c r="C14" s="200"/>
      <c r="D14" s="200"/>
      <c r="E14" s="200"/>
      <c r="F14" s="200"/>
      <c r="G14" s="200"/>
      <c r="H14" s="200"/>
      <c r="I14" s="200"/>
      <c r="J14" s="200"/>
      <c r="K14" s="200"/>
      <c r="L14" s="200"/>
      <c r="M14" s="200"/>
      <c r="N14" s="201"/>
    </row>
    <row r="15" spans="1:14">
      <c r="A15" s="199"/>
      <c r="B15" s="200"/>
      <c r="C15" s="200"/>
      <c r="D15" s="200"/>
      <c r="E15" s="200"/>
      <c r="F15" s="200"/>
      <c r="G15" s="200"/>
      <c r="H15" s="200"/>
      <c r="I15" s="200"/>
      <c r="J15" s="200"/>
      <c r="K15" s="200"/>
      <c r="L15" s="200"/>
      <c r="M15" s="200"/>
      <c r="N15" s="201"/>
    </row>
    <row r="16" spans="1:14">
      <c r="A16" s="199"/>
      <c r="B16" s="200"/>
      <c r="C16" s="200"/>
      <c r="D16" s="200"/>
      <c r="E16" s="200"/>
      <c r="F16" s="200"/>
      <c r="G16" s="200"/>
      <c r="H16" s="200"/>
      <c r="I16" s="200"/>
      <c r="J16" s="200"/>
      <c r="K16" s="200"/>
      <c r="L16" s="200"/>
      <c r="M16" s="200"/>
      <c r="N16" s="201"/>
    </row>
    <row r="17" spans="1:14">
      <c r="A17" s="199"/>
      <c r="B17" s="200"/>
      <c r="C17" s="200"/>
      <c r="D17" s="200"/>
      <c r="E17" s="200"/>
      <c r="F17" s="200"/>
      <c r="G17" s="200"/>
      <c r="H17" s="200"/>
      <c r="I17" s="200"/>
      <c r="J17" s="200"/>
      <c r="K17" s="200"/>
      <c r="L17" s="200"/>
      <c r="M17" s="200"/>
      <c r="N17" s="201"/>
    </row>
    <row r="18" spans="1:14">
      <c r="A18" s="199"/>
      <c r="B18" s="200"/>
      <c r="C18" s="200"/>
      <c r="D18" s="200"/>
      <c r="E18" s="200"/>
      <c r="F18" s="200"/>
      <c r="G18" s="200"/>
      <c r="H18" s="200"/>
      <c r="I18" s="200"/>
      <c r="J18" s="200"/>
      <c r="K18" s="200"/>
      <c r="L18" s="200"/>
      <c r="M18" s="200"/>
      <c r="N18" s="201"/>
    </row>
    <row r="19" spans="1:14">
      <c r="A19" s="199"/>
      <c r="B19" s="200"/>
      <c r="C19" s="200"/>
      <c r="D19" s="200"/>
      <c r="E19" s="200"/>
      <c r="F19" s="200"/>
      <c r="G19" s="200"/>
      <c r="H19" s="200"/>
      <c r="I19" s="200"/>
      <c r="J19" s="200"/>
      <c r="K19" s="200"/>
      <c r="L19" s="200"/>
      <c r="M19" s="200"/>
      <c r="N19" s="201"/>
    </row>
    <row r="20" spans="1:14">
      <c r="A20" s="199"/>
      <c r="B20" s="200"/>
      <c r="C20" s="200"/>
      <c r="D20" s="200"/>
      <c r="E20" s="200"/>
      <c r="F20" s="200"/>
      <c r="G20" s="200"/>
      <c r="H20" s="200"/>
      <c r="I20" s="200"/>
      <c r="J20" s="200"/>
      <c r="K20" s="200"/>
      <c r="L20" s="200"/>
      <c r="M20" s="200"/>
      <c r="N20" s="201"/>
    </row>
    <row r="21" spans="1:14" ht="15" thickBot="1">
      <c r="A21" s="202"/>
      <c r="B21" s="203"/>
      <c r="C21" s="203"/>
      <c r="D21" s="203"/>
      <c r="E21" s="203"/>
      <c r="F21" s="203"/>
      <c r="G21" s="203"/>
      <c r="H21" s="203"/>
      <c r="I21" s="203"/>
      <c r="J21" s="203"/>
      <c r="K21" s="203"/>
      <c r="L21" s="203"/>
      <c r="M21" s="203"/>
      <c r="N21" s="204"/>
    </row>
  </sheetData>
  <pageMargins left="0.511811024" right="0.511811024" top="0.78740157499999996" bottom="0.78740157499999996" header="0.31496062000000002" footer="0.31496062000000002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Planilha2">
    <tabColor rgb="FF00B050"/>
  </sheetPr>
  <dimension ref="A1:K97"/>
  <sheetViews>
    <sheetView showFormulas="1" topLeftCell="A19" zoomScale="85" zoomScaleNormal="85" zoomScaleSheetLayoutView="85" workbookViewId="0">
      <selection activeCell="H18" sqref="H18:I18"/>
    </sheetView>
  </sheetViews>
  <sheetFormatPr defaultRowHeight="15"/>
  <cols>
    <col min="1" max="1" width="5.625" style="256" customWidth="1"/>
    <col min="2" max="2" width="11.75" customWidth="1"/>
    <col min="3" max="3" width="8.625" customWidth="1"/>
    <col min="4" max="4" width="2.75" bestFit="1" customWidth="1"/>
    <col min="6" max="6" width="10.125" customWidth="1"/>
    <col min="7" max="7" width="3.375" customWidth="1"/>
    <col min="10" max="10" width="2.125" customWidth="1"/>
    <col min="11" max="11" width="13.125" customWidth="1"/>
  </cols>
  <sheetData>
    <row r="1" spans="1:11" ht="21.75" customHeight="1" thickTop="1" thickBot="1">
      <c r="A1" s="548" t="s">
        <v>481</v>
      </c>
      <c r="B1" s="549"/>
      <c r="C1" s="549"/>
      <c r="D1" s="549"/>
      <c r="E1" s="549"/>
      <c r="F1" s="549"/>
      <c r="G1" s="549"/>
      <c r="H1" s="549"/>
      <c r="I1" s="549"/>
      <c r="J1" s="549"/>
      <c r="K1" s="550"/>
    </row>
    <row r="2" spans="1:11" ht="15.75" thickTop="1">
      <c r="A2" s="269" t="s">
        <v>392</v>
      </c>
      <c r="B2" s="267">
        <v>2018</v>
      </c>
      <c r="C2" s="546"/>
      <c r="D2" s="546"/>
      <c r="E2" s="546"/>
      <c r="F2" s="546"/>
      <c r="G2" s="546"/>
      <c r="H2" s="546"/>
      <c r="I2" s="546"/>
      <c r="J2" s="546"/>
      <c r="K2" s="547"/>
    </row>
    <row r="3" spans="1:11">
      <c r="A3" s="270" t="s">
        <v>393</v>
      </c>
      <c r="B3" s="238" t="s">
        <v>552</v>
      </c>
      <c r="C3" s="544" t="s">
        <v>553</v>
      </c>
      <c r="D3" s="544"/>
      <c r="E3" s="544"/>
      <c r="F3" s="544"/>
      <c r="G3" s="544"/>
      <c r="H3" s="544"/>
      <c r="I3" s="544"/>
      <c r="J3" s="544"/>
      <c r="K3" s="545"/>
    </row>
    <row r="4" spans="1:11">
      <c r="A4" s="270"/>
      <c r="B4" s="238" t="s">
        <v>394</v>
      </c>
      <c r="C4" s="544" t="s">
        <v>554</v>
      </c>
      <c r="D4" s="544"/>
      <c r="E4" s="544"/>
      <c r="F4" s="544"/>
      <c r="G4" s="544"/>
      <c r="H4" s="544"/>
      <c r="I4" s="544"/>
      <c r="J4" s="544"/>
      <c r="K4" s="545"/>
    </row>
    <row r="5" spans="1:11">
      <c r="A5" s="270"/>
      <c r="B5" s="238" t="s">
        <v>395</v>
      </c>
      <c r="C5" s="544" t="s">
        <v>555</v>
      </c>
      <c r="D5" s="544"/>
      <c r="E5" s="544"/>
      <c r="F5" s="544"/>
      <c r="G5" s="544"/>
      <c r="H5" s="544"/>
      <c r="I5" s="544"/>
      <c r="J5" s="544"/>
      <c r="K5" s="545"/>
    </row>
    <row r="6" spans="1:11">
      <c r="A6" s="270"/>
      <c r="B6" s="238" t="s">
        <v>396</v>
      </c>
      <c r="C6" s="544" t="s">
        <v>556</v>
      </c>
      <c r="D6" s="544"/>
      <c r="E6" s="544"/>
      <c r="F6" s="544"/>
      <c r="G6" s="544"/>
      <c r="H6" s="544"/>
      <c r="I6" s="544"/>
      <c r="J6" s="544"/>
      <c r="K6" s="545"/>
    </row>
    <row r="7" spans="1:11" s="4" customFormat="1" ht="15.75" thickBot="1">
      <c r="A7" s="271"/>
      <c r="B7" s="268" t="s">
        <v>557</v>
      </c>
      <c r="C7" s="551" t="s">
        <v>558</v>
      </c>
      <c r="D7" s="551"/>
      <c r="E7" s="551"/>
      <c r="F7" s="551"/>
      <c r="G7" s="551"/>
      <c r="H7" s="551"/>
      <c r="I7" s="551"/>
      <c r="J7" s="551"/>
      <c r="K7" s="552"/>
    </row>
    <row r="8" spans="1:11" ht="16.5" thickTop="1" thickBot="1">
      <c r="A8" s="541" t="s">
        <v>397</v>
      </c>
      <c r="B8" s="542"/>
      <c r="C8" s="542"/>
      <c r="D8" s="542"/>
      <c r="E8" s="542"/>
      <c r="F8" s="542"/>
      <c r="G8" s="542"/>
      <c r="H8" s="542"/>
      <c r="I8" s="542"/>
      <c r="J8" s="542"/>
      <c r="K8" s="543"/>
    </row>
    <row r="9" spans="1:11" ht="15.75" thickTop="1">
      <c r="A9" s="258" t="s">
        <v>398</v>
      </c>
      <c r="B9" s="557" t="s">
        <v>399</v>
      </c>
      <c r="C9" s="557"/>
      <c r="D9" s="265" t="s">
        <v>454</v>
      </c>
      <c r="E9" s="553" t="s">
        <v>469</v>
      </c>
      <c r="F9" s="553" t="s">
        <v>469</v>
      </c>
      <c r="G9" s="265" t="s">
        <v>482</v>
      </c>
      <c r="H9" s="553" t="s">
        <v>551</v>
      </c>
      <c r="I9" s="553" t="s">
        <v>551</v>
      </c>
      <c r="J9" s="265" t="s">
        <v>531</v>
      </c>
      <c r="K9" s="283" t="s">
        <v>540</v>
      </c>
    </row>
    <row r="10" spans="1:11">
      <c r="A10" s="259" t="s">
        <v>404</v>
      </c>
      <c r="B10" s="555" t="s">
        <v>452</v>
      </c>
      <c r="C10" s="555" t="s">
        <v>452</v>
      </c>
      <c r="D10" s="264" t="s">
        <v>455</v>
      </c>
      <c r="E10" s="553" t="s">
        <v>119</v>
      </c>
      <c r="F10" s="553" t="s">
        <v>119</v>
      </c>
      <c r="G10" s="264" t="s">
        <v>483</v>
      </c>
      <c r="H10" s="553" t="s">
        <v>513</v>
      </c>
      <c r="I10" s="553" t="s">
        <v>513</v>
      </c>
      <c r="J10" s="264" t="s">
        <v>532</v>
      </c>
      <c r="K10" s="283" t="s">
        <v>539</v>
      </c>
    </row>
    <row r="11" spans="1:11">
      <c r="A11" s="259" t="s">
        <v>405</v>
      </c>
      <c r="B11" s="555" t="s">
        <v>451</v>
      </c>
      <c r="C11" s="555" t="s">
        <v>451</v>
      </c>
      <c r="D11" s="264" t="s">
        <v>456</v>
      </c>
      <c r="E11" s="553" t="s">
        <v>470</v>
      </c>
      <c r="F11" s="553" t="s">
        <v>470</v>
      </c>
      <c r="G11" s="264" t="s">
        <v>484</v>
      </c>
      <c r="H11" s="553" t="s">
        <v>562</v>
      </c>
      <c r="I11" s="553"/>
      <c r="J11" s="264" t="s">
        <v>533</v>
      </c>
      <c r="K11" s="283" t="s">
        <v>541</v>
      </c>
    </row>
    <row r="12" spans="1:11">
      <c r="A12" s="259" t="s">
        <v>406</v>
      </c>
      <c r="B12" s="555" t="s">
        <v>450</v>
      </c>
      <c r="C12" s="555" t="s">
        <v>450</v>
      </c>
      <c r="D12" s="264" t="s">
        <v>457</v>
      </c>
      <c r="E12" s="553" t="s">
        <v>471</v>
      </c>
      <c r="F12" s="553" t="s">
        <v>471</v>
      </c>
      <c r="G12" s="264" t="s">
        <v>485</v>
      </c>
      <c r="H12" s="553" t="s">
        <v>297</v>
      </c>
      <c r="I12" s="553" t="s">
        <v>297</v>
      </c>
      <c r="J12" s="264" t="s">
        <v>534</v>
      </c>
      <c r="K12" s="283" t="s">
        <v>217</v>
      </c>
    </row>
    <row r="13" spans="1:11">
      <c r="A13" s="259" t="s">
        <v>407</v>
      </c>
      <c r="B13" s="555" t="s">
        <v>449</v>
      </c>
      <c r="C13" s="555" t="s">
        <v>449</v>
      </c>
      <c r="D13" s="264" t="s">
        <v>458</v>
      </c>
      <c r="E13" s="553" t="s">
        <v>470</v>
      </c>
      <c r="F13" s="553" t="s">
        <v>470</v>
      </c>
      <c r="G13" s="264" t="s">
        <v>486</v>
      </c>
      <c r="H13" s="553" t="s">
        <v>514</v>
      </c>
      <c r="I13" s="553" t="s">
        <v>514</v>
      </c>
      <c r="J13" s="264" t="s">
        <v>535</v>
      </c>
      <c r="K13" s="283" t="s">
        <v>220</v>
      </c>
    </row>
    <row r="14" spans="1:11">
      <c r="A14" s="259" t="s">
        <v>408</v>
      </c>
      <c r="B14" s="555" t="s">
        <v>448</v>
      </c>
      <c r="C14" s="555" t="s">
        <v>448</v>
      </c>
      <c r="D14" s="264" t="s">
        <v>459</v>
      </c>
      <c r="E14" s="553" t="s">
        <v>472</v>
      </c>
      <c r="F14" s="553" t="s">
        <v>472</v>
      </c>
      <c r="G14" s="264" t="s">
        <v>487</v>
      </c>
      <c r="H14" s="553" t="s">
        <v>299</v>
      </c>
      <c r="I14" s="553" t="s">
        <v>299</v>
      </c>
      <c r="J14" s="264" t="s">
        <v>536</v>
      </c>
      <c r="K14" s="283" t="s">
        <v>542</v>
      </c>
    </row>
    <row r="15" spans="1:11">
      <c r="A15" s="259" t="s">
        <v>409</v>
      </c>
      <c r="B15" s="555" t="s">
        <v>447</v>
      </c>
      <c r="C15" s="555" t="s">
        <v>447</v>
      </c>
      <c r="D15" s="264" t="s">
        <v>460</v>
      </c>
      <c r="E15" s="553" t="s">
        <v>473</v>
      </c>
      <c r="F15" s="553" t="s">
        <v>473</v>
      </c>
      <c r="G15" s="264" t="s">
        <v>488</v>
      </c>
      <c r="H15" s="553" t="s">
        <v>515</v>
      </c>
      <c r="I15" s="553" t="s">
        <v>515</v>
      </c>
      <c r="J15" s="264" t="s">
        <v>537</v>
      </c>
      <c r="K15" s="283" t="s">
        <v>543</v>
      </c>
    </row>
    <row r="16" spans="1:11">
      <c r="A16" s="259" t="s">
        <v>410</v>
      </c>
      <c r="B16" s="555" t="s">
        <v>446</v>
      </c>
      <c r="C16" s="555" t="s">
        <v>446</v>
      </c>
      <c r="D16" s="264" t="s">
        <v>461</v>
      </c>
      <c r="E16" s="553" t="s">
        <v>474</v>
      </c>
      <c r="F16" s="553" t="s">
        <v>474</v>
      </c>
      <c r="G16" s="264" t="s">
        <v>489</v>
      </c>
      <c r="H16" s="553" t="s">
        <v>377</v>
      </c>
      <c r="I16" s="553" t="s">
        <v>377</v>
      </c>
      <c r="J16" s="264" t="s">
        <v>538</v>
      </c>
      <c r="K16" s="283" t="s">
        <v>544</v>
      </c>
    </row>
    <row r="17" spans="1:11">
      <c r="A17" s="259" t="s">
        <v>411</v>
      </c>
      <c r="B17" s="555" t="s">
        <v>445</v>
      </c>
      <c r="C17" s="555" t="s">
        <v>445</v>
      </c>
      <c r="D17" s="264" t="s">
        <v>462</v>
      </c>
      <c r="E17" s="553" t="s">
        <v>475</v>
      </c>
      <c r="F17" s="553" t="s">
        <v>475</v>
      </c>
      <c r="G17" s="264" t="s">
        <v>490</v>
      </c>
      <c r="H17" s="553" t="s">
        <v>516</v>
      </c>
      <c r="I17" s="553" t="s">
        <v>516</v>
      </c>
      <c r="J17" s="264"/>
      <c r="K17" s="266"/>
    </row>
    <row r="18" spans="1:11">
      <c r="A18" s="259" t="s">
        <v>453</v>
      </c>
      <c r="B18" s="555" t="s">
        <v>444</v>
      </c>
      <c r="C18" s="555" t="s">
        <v>444</v>
      </c>
      <c r="D18" s="264" t="s">
        <v>463</v>
      </c>
      <c r="E18" s="553" t="s">
        <v>476</v>
      </c>
      <c r="F18" s="553" t="s">
        <v>476</v>
      </c>
      <c r="G18" s="264" t="s">
        <v>491</v>
      </c>
      <c r="H18" s="553" t="s">
        <v>374</v>
      </c>
      <c r="I18" s="553" t="s">
        <v>374</v>
      </c>
      <c r="J18" s="264" t="s">
        <v>545</v>
      </c>
      <c r="K18" s="283" t="s">
        <v>547</v>
      </c>
    </row>
    <row r="19" spans="1:11">
      <c r="A19" s="259" t="s">
        <v>412</v>
      </c>
      <c r="B19" s="555" t="s">
        <v>443</v>
      </c>
      <c r="C19" s="555" t="s">
        <v>443</v>
      </c>
      <c r="D19" s="264" t="s">
        <v>464</v>
      </c>
      <c r="E19" s="553" t="s">
        <v>477</v>
      </c>
      <c r="F19" s="553" t="s">
        <v>477</v>
      </c>
      <c r="G19" s="264" t="s">
        <v>492</v>
      </c>
      <c r="H19" s="553" t="s">
        <v>517</v>
      </c>
      <c r="I19" s="553" t="s">
        <v>517</v>
      </c>
      <c r="J19" s="264"/>
      <c r="K19" s="266"/>
    </row>
    <row r="20" spans="1:11">
      <c r="A20" s="259" t="s">
        <v>413</v>
      </c>
      <c r="B20" s="555" t="s">
        <v>442</v>
      </c>
      <c r="C20" s="555" t="s">
        <v>442</v>
      </c>
      <c r="D20" s="264" t="s">
        <v>465</v>
      </c>
      <c r="E20" s="553" t="s">
        <v>237</v>
      </c>
      <c r="F20" s="553" t="s">
        <v>237</v>
      </c>
      <c r="G20" s="264" t="s">
        <v>493</v>
      </c>
      <c r="H20" s="553" t="s">
        <v>301</v>
      </c>
      <c r="I20" s="553" t="s">
        <v>301</v>
      </c>
      <c r="J20" s="264" t="s">
        <v>546</v>
      </c>
      <c r="K20" s="283" t="s">
        <v>548</v>
      </c>
    </row>
    <row r="21" spans="1:11">
      <c r="A21" s="259" t="s">
        <v>414</v>
      </c>
      <c r="B21" s="555" t="s">
        <v>441</v>
      </c>
      <c r="C21" s="555" t="s">
        <v>441</v>
      </c>
      <c r="D21" s="264" t="s">
        <v>466</v>
      </c>
      <c r="E21" s="553" t="s">
        <v>242</v>
      </c>
      <c r="F21" s="553" t="s">
        <v>242</v>
      </c>
      <c r="G21" s="264" t="s">
        <v>494</v>
      </c>
      <c r="H21" s="553" t="s">
        <v>518</v>
      </c>
      <c r="I21" s="553" t="s">
        <v>518</v>
      </c>
      <c r="J21" s="238"/>
      <c r="K21" s="266"/>
    </row>
    <row r="22" spans="1:11">
      <c r="A22" s="259" t="s">
        <v>415</v>
      </c>
      <c r="B22" s="555" t="s">
        <v>440</v>
      </c>
      <c r="C22" s="555" t="s">
        <v>440</v>
      </c>
      <c r="D22" s="264" t="s">
        <v>467</v>
      </c>
      <c r="E22" s="553" t="s">
        <v>478</v>
      </c>
      <c r="F22" s="553" t="s">
        <v>478</v>
      </c>
      <c r="G22" s="264" t="s">
        <v>495</v>
      </c>
      <c r="H22" s="553" t="s">
        <v>181</v>
      </c>
      <c r="I22" s="553" t="s">
        <v>181</v>
      </c>
      <c r="J22" s="238"/>
      <c r="K22" s="266"/>
    </row>
    <row r="23" spans="1:11">
      <c r="A23" s="259" t="s">
        <v>416</v>
      </c>
      <c r="B23" s="555" t="s">
        <v>439</v>
      </c>
      <c r="C23" s="555" t="s">
        <v>439</v>
      </c>
      <c r="D23" s="264" t="s">
        <v>468</v>
      </c>
      <c r="E23" s="553" t="s">
        <v>479</v>
      </c>
      <c r="F23" s="553" t="s">
        <v>479</v>
      </c>
      <c r="G23" s="264" t="s">
        <v>496</v>
      </c>
      <c r="H23" s="553" t="s">
        <v>519</v>
      </c>
      <c r="I23" s="553" t="s">
        <v>519</v>
      </c>
      <c r="J23" s="238"/>
      <c r="K23" s="266"/>
    </row>
    <row r="24" spans="1:11">
      <c r="A24" s="259" t="s">
        <v>417</v>
      </c>
      <c r="B24" s="555" t="s">
        <v>438</v>
      </c>
      <c r="C24" s="555" t="s">
        <v>438</v>
      </c>
      <c r="D24" s="264" t="s">
        <v>550</v>
      </c>
      <c r="E24" s="553" t="s">
        <v>480</v>
      </c>
      <c r="F24" s="553" t="s">
        <v>480</v>
      </c>
      <c r="G24" s="264" t="s">
        <v>497</v>
      </c>
      <c r="H24" s="553" t="s">
        <v>375</v>
      </c>
      <c r="I24" s="553" t="s">
        <v>375</v>
      </c>
      <c r="J24" s="238"/>
      <c r="K24" s="266"/>
    </row>
    <row r="25" spans="1:11">
      <c r="A25" s="259" t="s">
        <v>418</v>
      </c>
      <c r="B25" s="555" t="s">
        <v>437</v>
      </c>
      <c r="C25" s="555" t="s">
        <v>437</v>
      </c>
      <c r="D25" s="238"/>
      <c r="E25" s="238"/>
      <c r="F25" s="238"/>
      <c r="G25" s="264" t="s">
        <v>498</v>
      </c>
      <c r="H25" s="553" t="s">
        <v>384</v>
      </c>
      <c r="I25" s="553" t="s">
        <v>384</v>
      </c>
      <c r="J25" s="238"/>
      <c r="K25" s="266"/>
    </row>
    <row r="26" spans="1:11">
      <c r="A26" s="259" t="s">
        <v>419</v>
      </c>
      <c r="B26" s="555" t="s">
        <v>436</v>
      </c>
      <c r="C26" s="555" t="s">
        <v>436</v>
      </c>
      <c r="D26" s="238"/>
      <c r="E26" s="238"/>
      <c r="F26" s="238"/>
      <c r="G26" s="264" t="s">
        <v>499</v>
      </c>
      <c r="H26" s="553" t="s">
        <v>520</v>
      </c>
      <c r="I26" s="553" t="s">
        <v>520</v>
      </c>
      <c r="J26" s="238"/>
      <c r="K26" s="266"/>
    </row>
    <row r="27" spans="1:11">
      <c r="A27" s="259" t="s">
        <v>420</v>
      </c>
      <c r="B27" s="555" t="s">
        <v>435</v>
      </c>
      <c r="C27" s="555" t="s">
        <v>435</v>
      </c>
      <c r="D27" s="238"/>
      <c r="E27" s="238"/>
      <c r="F27" s="238"/>
      <c r="G27" s="264" t="s">
        <v>500</v>
      </c>
      <c r="H27" s="553" t="s">
        <v>373</v>
      </c>
      <c r="I27" s="553" t="s">
        <v>373</v>
      </c>
      <c r="J27" s="238"/>
      <c r="K27" s="266"/>
    </row>
    <row r="28" spans="1:11">
      <c r="A28" s="259" t="s">
        <v>421</v>
      </c>
      <c r="B28" s="555" t="s">
        <v>434</v>
      </c>
      <c r="C28" s="555" t="s">
        <v>434</v>
      </c>
      <c r="D28" s="238"/>
      <c r="E28" s="238"/>
      <c r="F28" s="238"/>
      <c r="G28" s="264" t="s">
        <v>501</v>
      </c>
      <c r="H28" s="553" t="s">
        <v>521</v>
      </c>
      <c r="I28" s="553" t="s">
        <v>521</v>
      </c>
      <c r="J28" s="238"/>
      <c r="K28" s="266"/>
    </row>
    <row r="29" spans="1:11">
      <c r="A29" s="259" t="s">
        <v>422</v>
      </c>
      <c r="B29" s="555" t="s">
        <v>433</v>
      </c>
      <c r="C29" s="555" t="s">
        <v>433</v>
      </c>
      <c r="D29" s="238"/>
      <c r="E29" s="238"/>
      <c r="F29" s="238"/>
      <c r="G29" s="264" t="s">
        <v>502</v>
      </c>
      <c r="H29" s="553" t="s">
        <v>292</v>
      </c>
      <c r="I29" s="553" t="s">
        <v>292</v>
      </c>
      <c r="J29" s="238"/>
      <c r="K29" s="266"/>
    </row>
    <row r="30" spans="1:11">
      <c r="A30" s="259" t="s">
        <v>423</v>
      </c>
      <c r="B30" s="555" t="s">
        <v>432</v>
      </c>
      <c r="C30" s="555" t="s">
        <v>432</v>
      </c>
      <c r="D30" s="238"/>
      <c r="E30" s="238"/>
      <c r="F30" s="238"/>
      <c r="G30" s="264" t="s">
        <v>503</v>
      </c>
      <c r="H30" s="553" t="s">
        <v>522</v>
      </c>
      <c r="I30" s="553" t="s">
        <v>522</v>
      </c>
      <c r="J30" s="238"/>
      <c r="K30" s="266"/>
    </row>
    <row r="31" spans="1:11">
      <c r="A31" s="259" t="s">
        <v>424</v>
      </c>
      <c r="B31" s="555" t="s">
        <v>431</v>
      </c>
      <c r="C31" s="555" t="s">
        <v>431</v>
      </c>
      <c r="D31" s="238"/>
      <c r="E31" s="238"/>
      <c r="F31" s="238"/>
      <c r="G31" s="264" t="s">
        <v>504</v>
      </c>
      <c r="H31" s="553" t="s">
        <v>183</v>
      </c>
      <c r="I31" s="553" t="s">
        <v>183</v>
      </c>
      <c r="J31" s="238"/>
      <c r="K31" s="266"/>
    </row>
    <row r="32" spans="1:11">
      <c r="A32" s="259" t="s">
        <v>425</v>
      </c>
      <c r="B32" s="555" t="s">
        <v>430</v>
      </c>
      <c r="C32" s="555" t="s">
        <v>430</v>
      </c>
      <c r="D32" s="238"/>
      <c r="E32" s="238"/>
      <c r="F32" s="238"/>
      <c r="G32" s="264" t="s">
        <v>505</v>
      </c>
      <c r="H32" s="553" t="s">
        <v>184</v>
      </c>
      <c r="I32" s="553" t="s">
        <v>184</v>
      </c>
      <c r="J32" s="238"/>
      <c r="K32" s="266"/>
    </row>
    <row r="33" spans="1:11">
      <c r="A33" s="259" t="s">
        <v>426</v>
      </c>
      <c r="B33" s="555" t="s">
        <v>429</v>
      </c>
      <c r="C33" s="555" t="s">
        <v>429</v>
      </c>
      <c r="D33" s="238"/>
      <c r="E33" s="238"/>
      <c r="F33" s="238"/>
      <c r="G33" s="264" t="s">
        <v>506</v>
      </c>
      <c r="H33" s="553" t="s">
        <v>239</v>
      </c>
      <c r="I33" s="553" t="s">
        <v>239</v>
      </c>
      <c r="J33" s="238"/>
      <c r="K33" s="266"/>
    </row>
    <row r="34" spans="1:11">
      <c r="A34" s="259" t="s">
        <v>427</v>
      </c>
      <c r="B34" s="555" t="s">
        <v>428</v>
      </c>
      <c r="C34" s="555" t="s">
        <v>428</v>
      </c>
      <c r="D34" s="238"/>
      <c r="E34" s="238"/>
      <c r="F34" s="238"/>
      <c r="G34" s="264" t="s">
        <v>507</v>
      </c>
      <c r="H34" s="553" t="s">
        <v>523</v>
      </c>
      <c r="I34" s="553" t="s">
        <v>523</v>
      </c>
      <c r="J34" s="238"/>
      <c r="K34" s="266"/>
    </row>
    <row r="35" spans="1:11">
      <c r="A35" s="259"/>
      <c r="B35" s="556"/>
      <c r="C35" s="556"/>
      <c r="D35" s="238"/>
      <c r="E35" s="238"/>
      <c r="F35" s="238"/>
      <c r="G35" s="264" t="s">
        <v>508</v>
      </c>
      <c r="H35" s="553" t="s">
        <v>524</v>
      </c>
      <c r="I35" s="553" t="s">
        <v>524</v>
      </c>
      <c r="J35" s="238"/>
      <c r="K35" s="266"/>
    </row>
    <row r="36" spans="1:11">
      <c r="A36" s="259"/>
      <c r="B36" s="238"/>
      <c r="C36" s="238"/>
      <c r="D36" s="238"/>
      <c r="E36" s="238"/>
      <c r="F36" s="238"/>
      <c r="G36" s="264" t="s">
        <v>509</v>
      </c>
      <c r="H36" s="553" t="s">
        <v>525</v>
      </c>
      <c r="I36" s="553" t="s">
        <v>525</v>
      </c>
      <c r="J36" s="238"/>
      <c r="K36" s="266"/>
    </row>
    <row r="37" spans="1:11">
      <c r="A37" s="259"/>
      <c r="B37" s="238"/>
      <c r="C37" s="238"/>
      <c r="D37" s="238"/>
      <c r="E37" s="238"/>
      <c r="F37" s="238"/>
      <c r="G37" s="264" t="s">
        <v>510</v>
      </c>
      <c r="H37" s="553" t="s">
        <v>526</v>
      </c>
      <c r="I37" s="553" t="s">
        <v>526</v>
      </c>
      <c r="J37" s="238"/>
      <c r="K37" s="266"/>
    </row>
    <row r="38" spans="1:11">
      <c r="A38" s="259"/>
      <c r="B38" s="238"/>
      <c r="C38" s="238"/>
      <c r="D38" s="238"/>
      <c r="E38" s="238"/>
      <c r="F38" s="238"/>
      <c r="G38" s="264" t="s">
        <v>511</v>
      </c>
      <c r="H38" s="553" t="s">
        <v>302</v>
      </c>
      <c r="I38" s="553" t="s">
        <v>302</v>
      </c>
      <c r="J38" s="238"/>
      <c r="K38" s="266"/>
    </row>
    <row r="39" spans="1:11">
      <c r="A39" s="259"/>
      <c r="B39" s="238"/>
      <c r="C39" s="238"/>
      <c r="D39" s="238"/>
      <c r="E39" s="238"/>
      <c r="F39" s="238"/>
      <c r="G39" s="264" t="s">
        <v>512</v>
      </c>
      <c r="H39" s="553" t="s">
        <v>527</v>
      </c>
      <c r="I39" s="553" t="s">
        <v>527</v>
      </c>
      <c r="J39" s="238"/>
      <c r="K39" s="266"/>
    </row>
    <row r="40" spans="1:11">
      <c r="A40" s="259"/>
      <c r="B40" s="238"/>
      <c r="C40" s="238"/>
      <c r="D40" s="238"/>
      <c r="E40" s="238"/>
      <c r="F40" s="238"/>
      <c r="G40" s="264" t="s">
        <v>564</v>
      </c>
      <c r="H40" s="553" t="s">
        <v>528</v>
      </c>
      <c r="I40" s="553" t="s">
        <v>528</v>
      </c>
      <c r="J40" s="238"/>
      <c r="K40" s="266"/>
    </row>
    <row r="41" spans="1:11">
      <c r="A41" s="259"/>
      <c r="B41" s="238"/>
      <c r="C41" s="238"/>
      <c r="D41" s="238"/>
      <c r="E41" s="238"/>
      <c r="F41" s="238"/>
      <c r="G41" s="264" t="s">
        <v>565</v>
      </c>
      <c r="H41" s="553" t="s">
        <v>529</v>
      </c>
      <c r="I41" s="553" t="s">
        <v>529</v>
      </c>
      <c r="J41" s="238"/>
      <c r="K41" s="266"/>
    </row>
    <row r="42" spans="1:11">
      <c r="A42" s="259"/>
      <c r="B42" s="234"/>
      <c r="C42" s="234"/>
      <c r="D42" s="234"/>
      <c r="E42" s="238"/>
      <c r="F42" s="238"/>
      <c r="G42" s="282" t="s">
        <v>566</v>
      </c>
      <c r="H42" s="553" t="s">
        <v>530</v>
      </c>
      <c r="I42" s="553" t="s">
        <v>530</v>
      </c>
      <c r="J42" s="234"/>
      <c r="K42" s="260"/>
    </row>
    <row r="43" spans="1:11">
      <c r="A43" s="259"/>
      <c r="B43" s="234"/>
      <c r="C43" s="234"/>
      <c r="D43" s="234"/>
      <c r="E43" s="238"/>
      <c r="F43" s="238"/>
      <c r="G43" s="234"/>
      <c r="H43" s="234"/>
      <c r="I43" s="234"/>
      <c r="J43" s="234"/>
      <c r="K43" s="260"/>
    </row>
    <row r="44" spans="1:11" ht="15.75" thickBot="1">
      <c r="A44" s="261"/>
      <c r="B44" s="262"/>
      <c r="C44" s="262"/>
      <c r="D44" s="262"/>
      <c r="E44" s="262"/>
      <c r="F44" s="262"/>
      <c r="G44" s="262"/>
      <c r="H44" s="262"/>
      <c r="I44" s="262"/>
      <c r="J44" s="262"/>
      <c r="K44" s="263"/>
    </row>
    <row r="45" spans="1:11" s="4" customFormat="1" thickTop="1"/>
    <row r="46" spans="1:11">
      <c r="H46" s="4"/>
      <c r="I46" s="4"/>
    </row>
    <row r="50" spans="2:3">
      <c r="B50" s="554"/>
      <c r="C50" s="554"/>
    </row>
    <row r="84" spans="2:3">
      <c r="B84" s="554"/>
      <c r="C84" s="554"/>
    </row>
    <row r="97" spans="2:2" ht="15.75">
      <c r="B97" s="80"/>
    </row>
  </sheetData>
  <mergeCells count="87">
    <mergeCell ref="H11:I11"/>
    <mergeCell ref="B9:C9"/>
    <mergeCell ref="B10:C10"/>
    <mergeCell ref="B11:C11"/>
    <mergeCell ref="B18:C18"/>
    <mergeCell ref="E10:F10"/>
    <mergeCell ref="E11:F11"/>
    <mergeCell ref="E12:F12"/>
    <mergeCell ref="E13:F13"/>
    <mergeCell ref="E14:F14"/>
    <mergeCell ref="H17:I17"/>
    <mergeCell ref="H18:I18"/>
    <mergeCell ref="H9:I9"/>
    <mergeCell ref="H10:I10"/>
    <mergeCell ref="H12:I12"/>
    <mergeCell ref="H13:I13"/>
    <mergeCell ref="B19:C19"/>
    <mergeCell ref="B20:C20"/>
    <mergeCell ref="B21:C21"/>
    <mergeCell ref="B12:C12"/>
    <mergeCell ref="B13:C13"/>
    <mergeCell ref="B14:C14"/>
    <mergeCell ref="B15:C15"/>
    <mergeCell ref="B16:C16"/>
    <mergeCell ref="B32:C32"/>
    <mergeCell ref="B33:C33"/>
    <mergeCell ref="B34:C34"/>
    <mergeCell ref="B35:C35"/>
    <mergeCell ref="E9:F9"/>
    <mergeCell ref="B27:C27"/>
    <mergeCell ref="B28:C28"/>
    <mergeCell ref="B29:C29"/>
    <mergeCell ref="B30:C30"/>
    <mergeCell ref="B31:C31"/>
    <mergeCell ref="B22:C22"/>
    <mergeCell ref="B23:C23"/>
    <mergeCell ref="B24:C24"/>
    <mergeCell ref="B25:C25"/>
    <mergeCell ref="B26:C26"/>
    <mergeCell ref="B17:C17"/>
    <mergeCell ref="E24:F24"/>
    <mergeCell ref="E15:F15"/>
    <mergeCell ref="E16:F16"/>
    <mergeCell ref="E17:F17"/>
    <mergeCell ref="E18:F18"/>
    <mergeCell ref="E19:F19"/>
    <mergeCell ref="H20:I20"/>
    <mergeCell ref="H21:I21"/>
    <mergeCell ref="E21:F21"/>
    <mergeCell ref="E22:F22"/>
    <mergeCell ref="E23:F23"/>
    <mergeCell ref="E20:F20"/>
    <mergeCell ref="H42:I42"/>
    <mergeCell ref="B84:C84"/>
    <mergeCell ref="H34:I34"/>
    <mergeCell ref="H35:I35"/>
    <mergeCell ref="H36:I36"/>
    <mergeCell ref="H37:I37"/>
    <mergeCell ref="H38:I38"/>
    <mergeCell ref="B50:C50"/>
    <mergeCell ref="H41:I41"/>
    <mergeCell ref="H29:I29"/>
    <mergeCell ref="H30:I30"/>
    <mergeCell ref="H31:I31"/>
    <mergeCell ref="H32:I32"/>
    <mergeCell ref="H33:I33"/>
    <mergeCell ref="C2:K2"/>
    <mergeCell ref="A1:K1"/>
    <mergeCell ref="C7:K7"/>
    <mergeCell ref="H39:I39"/>
    <mergeCell ref="H40:I40"/>
    <mergeCell ref="H24:I24"/>
    <mergeCell ref="H25:I25"/>
    <mergeCell ref="H26:I26"/>
    <mergeCell ref="H27:I27"/>
    <mergeCell ref="H28:I28"/>
    <mergeCell ref="H19:I19"/>
    <mergeCell ref="H22:I22"/>
    <mergeCell ref="H23:I23"/>
    <mergeCell ref="H14:I14"/>
    <mergeCell ref="H15:I15"/>
    <mergeCell ref="H16:I16"/>
    <mergeCell ref="A8:K8"/>
    <mergeCell ref="C3:K3"/>
    <mergeCell ref="C4:K4"/>
    <mergeCell ref="C5:K5"/>
    <mergeCell ref="C6:K6"/>
  </mergeCells>
  <hyperlinks>
    <hyperlink ref="B9:C9" location="Plano_Estatístico_2018_HJB!A6" display="Estatística de Pacientes Internados" xr:uid="{00000000-0004-0000-0100-000000000000}"/>
    <hyperlink ref="B10:C10" location="Plano_Estatístico_2018_HJB!A8" display="Nº de Leitos por Unidade" xr:uid="{00000000-0004-0000-0100-000001000000}"/>
    <hyperlink ref="B11:C11" location="Plano_Estatístico_2018_HJB!A14" display="Nº de Leitos-Dia por Unidade" xr:uid="{00000000-0004-0000-0100-000002000000}"/>
    <hyperlink ref="B12:C12" location="Plano_Estatístico_2018_HJB!A20" display="Nº de Pacientes-Dia por Especialidade" xr:uid="{00000000-0004-0000-0100-000003000000}"/>
    <hyperlink ref="B13:C13" location="Plano_Estatístico_2018_HJB!A41" display="Nº de Pacientes-Dia por Unidade" xr:uid="{00000000-0004-0000-0100-000004000000}"/>
    <hyperlink ref="B14:C14" location="Plano_Estatístico_2018_HJB!A47" display="Média Diária de Pacientes por Unidade" xr:uid="{00000000-0004-0000-0100-000005000000}"/>
    <hyperlink ref="B15:C15" location="Plano_Estatístico_2018_HJB!A53" display="Internações por Especialidade" xr:uid="{00000000-0004-0000-0100-000006000000}"/>
    <hyperlink ref="B16:C16" location="Plano_Estatístico_2018_HJB!A74" display="Internações por Unidade" xr:uid="{00000000-0004-0000-0100-000007000000}"/>
    <hyperlink ref="B17:C17" location="Plano_Estatístico_2018_HJB!A80" display="Internações por Município" xr:uid="{00000000-0004-0000-0100-000008000000}"/>
    <hyperlink ref="B18:C18" location="Plano_Estatístico_2018_HJB!A200" display=" Internações por Faixa etária" xr:uid="{00000000-0004-0000-0100-000009000000}"/>
    <hyperlink ref="B19:C19" location="Plano_Estatístico_2018_HJB!A211" display="Altas Melhoradas Por Especialidade" xr:uid="{00000000-0004-0000-0100-00000A000000}"/>
    <hyperlink ref="B20:C20" location="Plano_Estatístico_2018_HJB!A233" display="Altas por Unidade (sem transferências)" xr:uid="{00000000-0004-0000-0100-00000B000000}"/>
    <hyperlink ref="B21:C21" location="Plano_Estatístico_2018_HJB!A239" display="Óbitos por Especialidade" xr:uid="{00000000-0004-0000-0100-00000C000000}"/>
    <hyperlink ref="B22:C22" location="Plano_Estatístico_2018_HJB!A259" display="Óbitos por Unidade" xr:uid="{00000000-0004-0000-0100-00000D000000}"/>
    <hyperlink ref="B23:C23" location="Plano_Estatístico_2018_HJB!A265" display="Óbitos Não Institucionais p/ Especialidade (-48h)" xr:uid="{00000000-0004-0000-0100-00000E000000}"/>
    <hyperlink ref="B24:C24" location="Plano_Estatístico_2018_HJB!A285" display="Óbitos Institucionais p/ Especialidade  (+48h)" xr:uid="{00000000-0004-0000-0100-00000F000000}"/>
    <hyperlink ref="B25:C25" location="Plano_Estatístico_2018_HJB!A305" display="Óbitos por Faixa Etária" xr:uid="{00000000-0004-0000-0100-000010000000}"/>
    <hyperlink ref="B26:C26" location="Plano_Estatístico_2018_HJB!A315" display="Transferência Interna por Unidade (Entrada)" xr:uid="{00000000-0004-0000-0100-000011000000}"/>
    <hyperlink ref="B27:C27" location="Plano_Estatístico_2018_HJB!A321" display="Transferência Interna por Unidade (Saída)" xr:uid="{00000000-0004-0000-0100-000012000000}"/>
    <hyperlink ref="B28:C28" location="Plano_Estatístico_2018_HJB!A327" display="Pacientes Saídos p/ Especialidade" xr:uid="{00000000-0004-0000-0100-000013000000}"/>
    <hyperlink ref="B29:C29" location="Plano_Estatístico_2018_HJB!A348" display="Pacientes Saídos por Unidade" xr:uid="{00000000-0004-0000-0100-000014000000}"/>
    <hyperlink ref="B30:C30" location="Plano_Estatístico_2018_HJB!A354" display="Porcentagem de Ocupação por Unidade" xr:uid="{00000000-0004-0000-0100-000015000000}"/>
    <hyperlink ref="B31:C31" location="Plano_Estatístico_2018_HJB!A362" display="Média de Permanência por Unidade" xr:uid="{00000000-0004-0000-0100-000016000000}"/>
    <hyperlink ref="B32:C32" location="Plano_Estatístico_2018_HJB!A370" display="Índice de Giro de Leitos p/ Unidade" xr:uid="{00000000-0004-0000-0100-000017000000}"/>
    <hyperlink ref="B33:C33" location="Plano_Estatístico_2018_HJB!A376" display="Taxa de Mortalidade por Unidade" xr:uid="{00000000-0004-0000-0100-000018000000}"/>
    <hyperlink ref="B34:C34" location="Plano_Estatístico_2018_HJB!A382" display="Taxa de Mortalidade por Tipo" xr:uid="{00000000-0004-0000-0100-000019000000}"/>
    <hyperlink ref="E9:F9" location="Plano_Estatístico_2018_HJB!A389" display="Serviços Assistenciais" xr:uid="{00000000-0004-0000-0100-00001A000000}"/>
    <hyperlink ref="E10:F10" location="Plano_Estatístico_2018_HJB!A392" display="Centro Cirúrgico" xr:uid="{00000000-0004-0000-0100-00001B000000}"/>
    <hyperlink ref="E11:F11" location="'Sumário Provisório'!A424" display="Anestesia" xr:uid="{00000000-0004-0000-0100-00001C000000}"/>
    <hyperlink ref="E12:F12" location="Plano_Estatístico_2018_HJB!A444" display="Centro Cirúrgico - Procedimento Endoscópico" xr:uid="{00000000-0004-0000-0100-00001D000000}"/>
    <hyperlink ref="E13:F13" location="Plano_Estatístico_2018_HJB!A470" display="Anestesia" xr:uid="{00000000-0004-0000-0100-00001E000000}"/>
    <hyperlink ref="E14:F14" location="Plano_Estatístico_2018_HJB!A491" display="Central de Material Esterilizado" xr:uid="{00000000-0004-0000-0100-00001F000000}"/>
    <hyperlink ref="E15:F15" location="Plano_Estatístico_2018_HJB!A510" display="Ambulatório de Referência e Pronto Atendimento" xr:uid="{00000000-0004-0000-0100-000020000000}"/>
    <hyperlink ref="E16:F16" location="Plano_Estatístico_2018_HJB!A517" display="Atendimento por Especialidades – Ambulatório - Consultas Médicas" xr:uid="{00000000-0004-0000-0100-000021000000}"/>
    <hyperlink ref="E17:F17" location="Plano_Estatístico_2018_HJB!A539" display="Atendimento por Especialidades – Ambulatório - Consultas Não Médicas" xr:uid="{00000000-0004-0000-0100-000022000000}"/>
    <hyperlink ref="E18:F18" location="Plano_Estatístico_2018_HJB!A546" display="Procedimentos Realizados no ambulatório" xr:uid="{00000000-0004-0000-0100-000023000000}"/>
    <hyperlink ref="E19:F19" location="Plano_Estatístico_2018_HJB!A551" display="Atividades Sociais" xr:uid="{00000000-0004-0000-0100-000024000000}"/>
    <hyperlink ref="E20:F20" location="Plano_Estatístico_2018_HJB!A552" display="S.A.U" xr:uid="{00000000-0004-0000-0100-000025000000}"/>
    <hyperlink ref="E21:F21" location="Plano_Estatístico_2018_HJB!A560" display="Serviço Social" xr:uid="{00000000-0004-0000-0100-000026000000}"/>
    <hyperlink ref="E22:F22" location="Plano_Estatístico_2018_HJB!A570" display="Serviço Nutricional" xr:uid="{00000000-0004-0000-0100-000027000000}"/>
    <hyperlink ref="E23:F23" location="Plano_Estatístico_2018_HJB!A576" display="Serviço Psicologia" xr:uid="{00000000-0004-0000-0100-000028000000}"/>
    <hyperlink ref="E24:F24" location="Plano_Estatístico_2018_HJB!A585" display="Educação Permanente" xr:uid="{00000000-0004-0000-0100-000029000000}"/>
    <hyperlink ref="H9:I9" location="Plano_Estatístico_2018_HJB!A597" display="Serviço de Apoio Diagnóstico Terapêutico" xr:uid="{00000000-0004-0000-0100-00002A000000}"/>
    <hyperlink ref="H10:I10" location="Plano_Estatístico_2018_HJB!A599" display="Anátomo Patológico" xr:uid="{00000000-0004-0000-0100-00002B000000}"/>
    <hyperlink ref="H11:I11" location="Plano_Estatístico_2018_HJB!A617" display="Bomba de Insulina" xr:uid="{00000000-0004-0000-0100-00002C000000}"/>
    <hyperlink ref="H12:I12" location="Plano_Estatístico_2018_HJB!A634" display="Broncoscopia" xr:uid="{00000000-0004-0000-0100-00002D000000}"/>
    <hyperlink ref="H13:I13" location="Plano_Estatístico_2018_HJB!A651" display="Densitometria Óssea" xr:uid="{00000000-0004-0000-0100-00002E000000}"/>
    <hyperlink ref="H14:I14" location="Plano_Estatístico_2018_HJB!A668" display="Ecocardiograma" xr:uid="{00000000-0004-0000-0100-00002F000000}"/>
    <hyperlink ref="H15:I15" location="Plano_Estatístico_2018_HJB!A685" display="ECG - Eletrocardiograma" xr:uid="{00000000-0004-0000-0100-000030000000}"/>
    <hyperlink ref="H16:I16" location="Plano_Estatístico_2018_HJB!A702" display="Endoscopia Digestiva Alta" xr:uid="{00000000-0004-0000-0100-000031000000}"/>
    <hyperlink ref="H17:I17" location="Plano_Estatístico_2018_HJB!A749" display="Endoscopia Digestiva Baixa - Colonoscopia" xr:uid="{00000000-0004-0000-0100-000032000000}"/>
    <hyperlink ref="H18:I18" location="Plano_Estatístico_2018_HJB!A794" display="Escleroterapia Ecoviada com Espuma" xr:uid="{00000000-0004-0000-0100-000033000000}"/>
    <hyperlink ref="H19:I19" location="Plano_Estatístico_2018_HJB!A811" display="Espirometria - Prova de Função Pulmonar" xr:uid="{00000000-0004-0000-0100-000034000000}"/>
    <hyperlink ref="H20:I20" location="Plano_Estatístico_2018_HJB!A828" display="Holter de Glicemia" xr:uid="{00000000-0004-0000-0100-000035000000}"/>
    <hyperlink ref="H21:I21" location="Plano_Estatístico_2018_HJB!A845" display="Laboratório de Análises Clínicas" xr:uid="{00000000-0004-0000-0100-000036000000}"/>
    <hyperlink ref="H22:I22" location="Plano_Estatístico_2018_HJB!A874" display="Mamografia" xr:uid="{00000000-0004-0000-0100-000037000000}"/>
    <hyperlink ref="H23:I23" location="Plano_Estatístico_2018_HJB!A891" display="MAPA - Monitorização Ambulatorial de Pressão Arterial" xr:uid="{00000000-0004-0000-0100-000038000000}"/>
    <hyperlink ref="H24:I24" location="Plano_Estatístico_2018_HJB!A908" display="Medicina Nuclear - Cintilografia" xr:uid="{00000000-0004-0000-0100-000039000000}"/>
    <hyperlink ref="H25:I25" location="Plano_Estatístico_2018_HJB!A925" display="Medicina Nuclear - Iodoterapia" xr:uid="{00000000-0004-0000-0100-00003A000000}"/>
    <hyperlink ref="H26:I26" location="Plano_Estatístico_2018_HJB!A942" display="PAAF - Biópsia de Tireóide" xr:uid="{00000000-0004-0000-0100-00003B000000}"/>
    <hyperlink ref="H27:I27" location="Plano_Estatístico_2018_HJB!A959" display="Polissonografia" xr:uid="{00000000-0004-0000-0100-00003C000000}"/>
    <hyperlink ref="H28:I28" location="Plano_Estatístico_2018_HJB!A976" display="Radiologia - Raio-X" xr:uid="{00000000-0004-0000-0100-00003D000000}"/>
    <hyperlink ref="H29:I29" location="Plano_Estatístico_2018_HJB!A1066" display="Ressonância Magnética" xr:uid="{00000000-0004-0000-0100-00003E000000}"/>
    <hyperlink ref="H30:I30" location="Plano_Estatístico_2018_HJB!A1083" display="Teste Ergométrico" xr:uid="{00000000-0004-0000-0100-00003F000000}"/>
    <hyperlink ref="H31:I31" location="Plano_Estatístico_2018_HJB!A1100" display="Tomografia" xr:uid="{00000000-0004-0000-0100-000040000000}"/>
    <hyperlink ref="H32:I32" location="Plano_Estatístico_2018_HJB!A1163" display="Ultrassonografia" xr:uid="{00000000-0004-0000-0100-000041000000}"/>
    <hyperlink ref="H33:I33" location="Plano_Estatístico_2018_HJB!A1240" display="Fisioterapia" xr:uid="{00000000-0004-0000-0100-000042000000}"/>
    <hyperlink ref="H34:I34" location="Plano_Estatístico_2018_HJB!A1248" display="Fonoaudiologia" xr:uid="{00000000-0004-0000-0100-000043000000}"/>
    <hyperlink ref="H35:I35" location="Plano_Estatístico_2018_HJB!A1265" display="Terapia Ocupacional" xr:uid="{00000000-0004-0000-0100-000044000000}"/>
    <hyperlink ref="H36:I36" location="Plano_Estatístico_2018_HJB!A1282" display="Hemoterapia - Agência Transfusional" xr:uid="{00000000-0004-0000-0100-000045000000}"/>
    <hyperlink ref="H37:I37" location="Plano_Estatístico_2018_HJB!A1294" display="Hemodiálise" xr:uid="{00000000-0004-0000-0100-000046000000}"/>
    <hyperlink ref="H38:I38" location="Plano_Estatístico_2018_HJB!A1303" display="Pulsoterapia" xr:uid="{00000000-0004-0000-0100-000047000000}"/>
    <hyperlink ref="H39:I39" location="Plano_Estatístico_2018_HJB!A1320" display="Total SADT Internos" xr:uid="{00000000-0004-0000-0100-000048000000}"/>
    <hyperlink ref="H40:I40" location="Plano_Estatístico_2018_HJB!A1349" display="Total SADT Externos" xr:uid="{00000000-0004-0000-0100-000049000000}"/>
    <hyperlink ref="H41:I41" location="Plano_Estatístico_2018_HJB!A1349" display="TOTAL GERAL  SADT" xr:uid="{00000000-0004-0000-0100-00004A000000}"/>
    <hyperlink ref="H42:I42" location="Plano_Estatístico_2018_HJB!A1382" display="Total Tratamentos Internos" xr:uid="{00000000-0004-0000-0100-00004B000000}"/>
    <hyperlink ref="K9" location="Plano_Estatístico_2018_HJB!A1392" display="Serviços de Apoio" xr:uid="{00000000-0004-0000-0100-00004C000000}"/>
    <hyperlink ref="K10" location="Plano_Estatístico_2018_HJB!A1394" display="Nutrição e Dietética" xr:uid="{00000000-0004-0000-0100-00004D000000}"/>
    <hyperlink ref="K11" location="'Sumário Provisório'!A1418" display="Processamento da Roupa" xr:uid="{00000000-0004-0000-0100-00004E000000}"/>
    <hyperlink ref="K12" location="Plano_Estatístico_2018_HJB!A1458" display="Manutenção" xr:uid="{00000000-0004-0000-0100-00004F000000}"/>
    <hyperlink ref="K13" location="Plano_Estatístico_2018_HJB!A1523" display="Telefonia" xr:uid="{00000000-0004-0000-0100-000050000000}"/>
    <hyperlink ref="K14" location="Plano_Estatístico_2018_HJB!A1531" display="Encadernação" xr:uid="{00000000-0004-0000-0100-000051000000}"/>
    <hyperlink ref="K15" location="Plano_Estatístico_2018_HJB!A1550" display="Plastificação" xr:uid="{00000000-0004-0000-0100-000052000000}"/>
    <hyperlink ref="K16" location="Plano_Estatístico_2018_HJB!A1567" display="Cópias" xr:uid="{00000000-0004-0000-0100-000053000000}"/>
    <hyperlink ref="K18" location="Plano_Estatístico_2018_HJB!A1601" display="Serviços Administrativos" xr:uid="{00000000-0004-0000-0100-000054000000}"/>
    <hyperlink ref="K20" location="Plano_Estatístico_2018_HJB!A1680" display="Resumo Geral de Informações" xr:uid="{00000000-0004-0000-0100-000055000000}"/>
  </hyperlinks>
  <pageMargins left="0.511811024" right="0.511811024" top="0.78740157499999996" bottom="0.78740157499999996" header="0.31496062000000002" footer="0.31496062000000002"/>
  <pageSetup paperSize="9" scale="73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Planilha3">
    <tabColor theme="8"/>
    <pageSetUpPr fitToPage="1"/>
  </sheetPr>
  <dimension ref="A1:Z1691"/>
  <sheetViews>
    <sheetView view="pageBreakPreview" topLeftCell="A335" zoomScale="82" zoomScaleNormal="83" zoomScaleSheetLayoutView="82" zoomScalePageLayoutView="50" workbookViewId="0">
      <selection activeCell="O353" sqref="A349:O353"/>
    </sheetView>
  </sheetViews>
  <sheetFormatPr defaultColWidth="15.125" defaultRowHeight="15"/>
  <cols>
    <col min="1" max="1" width="38" style="80" customWidth="1"/>
    <col min="2" max="3" width="11.5" style="101" customWidth="1"/>
    <col min="4" max="4" width="10.625" style="101" customWidth="1"/>
    <col min="5" max="5" width="11.375" style="101" customWidth="1"/>
    <col min="6" max="6" width="11.625" style="101" customWidth="1"/>
    <col min="7" max="7" width="11.75" style="101" customWidth="1"/>
    <col min="8" max="8" width="11.625" style="101" customWidth="1"/>
    <col min="9" max="9" width="11.125" style="101" customWidth="1"/>
    <col min="10" max="11" width="11" style="101" customWidth="1"/>
    <col min="12" max="12" width="11.5" style="101" customWidth="1"/>
    <col min="13" max="13" width="11.125" style="101" bestFit="1" customWidth="1"/>
    <col min="14" max="14" width="13" style="151" bestFit="1" customWidth="1"/>
    <col min="15" max="15" width="11.875" style="102" bestFit="1" customWidth="1"/>
    <col min="16" max="25" width="18.5" style="3" customWidth="1"/>
    <col min="26" max="26" width="8.625" style="3" customWidth="1"/>
    <col min="27" max="16384" width="15.125" style="3"/>
  </cols>
  <sheetData>
    <row r="1" spans="1:26" ht="14.25">
      <c r="A1" s="558" t="s">
        <v>376</v>
      </c>
      <c r="B1" s="558"/>
      <c r="C1" s="558"/>
      <c r="D1" s="558"/>
      <c r="E1" s="558"/>
      <c r="F1" s="558"/>
      <c r="G1" s="558"/>
      <c r="H1" s="558"/>
      <c r="I1" s="558"/>
      <c r="J1" s="558"/>
      <c r="K1" s="558"/>
      <c r="L1" s="558"/>
      <c r="M1" s="558"/>
      <c r="N1" s="558"/>
      <c r="O1" s="558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4.25">
      <c r="A2" s="558"/>
      <c r="B2" s="558"/>
      <c r="C2" s="558"/>
      <c r="D2" s="558"/>
      <c r="E2" s="558"/>
      <c r="F2" s="558"/>
      <c r="G2" s="558"/>
      <c r="H2" s="558"/>
      <c r="I2" s="558"/>
      <c r="J2" s="558"/>
      <c r="K2" s="558"/>
      <c r="L2" s="558"/>
      <c r="M2" s="558"/>
      <c r="N2" s="558"/>
      <c r="O2" s="558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ht="14.25">
      <c r="A3" s="558" t="s">
        <v>721</v>
      </c>
      <c r="B3" s="558"/>
      <c r="C3" s="558"/>
      <c r="D3" s="558"/>
      <c r="E3" s="558"/>
      <c r="F3" s="558"/>
      <c r="G3" s="558"/>
      <c r="H3" s="558"/>
      <c r="I3" s="558"/>
      <c r="J3" s="558"/>
      <c r="K3" s="558"/>
      <c r="L3" s="558"/>
      <c r="M3" s="558"/>
      <c r="N3" s="558"/>
      <c r="O3" s="558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spans="1:26" ht="14.25">
      <c r="A4" s="559"/>
      <c r="B4" s="559"/>
      <c r="C4" s="559"/>
      <c r="D4" s="559"/>
      <c r="E4" s="559"/>
      <c r="F4" s="559"/>
      <c r="G4" s="559"/>
      <c r="H4" s="559"/>
      <c r="I4" s="559"/>
      <c r="J4" s="559"/>
      <c r="K4" s="559"/>
      <c r="L4" s="559"/>
      <c r="M4" s="559"/>
      <c r="N4" s="559"/>
      <c r="O4" s="559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spans="1:26" s="9" customFormat="1" ht="15.75">
      <c r="A5" s="5" t="s">
        <v>2</v>
      </c>
      <c r="B5" s="6" t="s">
        <v>3</v>
      </c>
      <c r="C5" s="6" t="s">
        <v>4</v>
      </c>
      <c r="D5" s="6" t="s">
        <v>5</v>
      </c>
      <c r="E5" s="6" t="s">
        <v>6</v>
      </c>
      <c r="F5" s="6" t="s">
        <v>7</v>
      </c>
      <c r="G5" s="6" t="s">
        <v>8</v>
      </c>
      <c r="H5" s="6" t="s">
        <v>9</v>
      </c>
      <c r="I5" s="6" t="s">
        <v>10</v>
      </c>
      <c r="J5" s="6" t="s">
        <v>11</v>
      </c>
      <c r="K5" s="6" t="s">
        <v>12</v>
      </c>
      <c r="L5" s="6" t="s">
        <v>13</v>
      </c>
      <c r="M5" s="6" t="s">
        <v>14</v>
      </c>
      <c r="N5" s="130" t="s">
        <v>15</v>
      </c>
      <c r="O5" s="7" t="s">
        <v>16</v>
      </c>
      <c r="P5" s="8"/>
      <c r="Q5" s="8"/>
      <c r="R5" s="8"/>
      <c r="S5" s="8"/>
      <c r="T5" s="8"/>
      <c r="U5" s="8"/>
      <c r="V5" s="8"/>
      <c r="W5" s="8"/>
      <c r="X5" s="8"/>
      <c r="Y5" s="8"/>
      <c r="Z5" s="8"/>
    </row>
    <row r="6" spans="1:26" s="9" customFormat="1" ht="15.75">
      <c r="A6" s="465" t="s">
        <v>347</v>
      </c>
      <c r="B6" s="466"/>
      <c r="C6" s="466"/>
      <c r="D6" s="466"/>
      <c r="E6" s="466"/>
      <c r="F6" s="466"/>
      <c r="G6" s="466"/>
      <c r="H6" s="466"/>
      <c r="I6" s="466"/>
      <c r="J6" s="466"/>
      <c r="K6" s="466"/>
      <c r="L6" s="466"/>
      <c r="M6" s="466"/>
      <c r="N6" s="467"/>
      <c r="O6" s="468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</row>
    <row r="7" spans="1:26" s="9" customFormat="1">
      <c r="A7" s="11"/>
      <c r="B7" s="12"/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31"/>
      <c r="O7" s="13"/>
      <c r="P7" s="8"/>
      <c r="Q7" s="8"/>
      <c r="R7" s="8"/>
      <c r="S7" s="8"/>
      <c r="T7" s="8"/>
      <c r="U7" s="8"/>
      <c r="V7" s="8"/>
      <c r="W7" s="8"/>
      <c r="X7" s="8"/>
      <c r="Y7" s="8"/>
      <c r="Z7" s="8"/>
    </row>
    <row r="8" spans="1:26" s="9" customFormat="1" ht="15.75">
      <c r="A8" s="14" t="s">
        <v>17</v>
      </c>
      <c r="B8" s="15"/>
      <c r="C8" s="15"/>
      <c r="D8" s="540" t="s">
        <v>841</v>
      </c>
      <c r="E8" s="540" t="s">
        <v>841</v>
      </c>
      <c r="F8" s="15"/>
      <c r="G8" s="15"/>
      <c r="H8" s="15"/>
      <c r="I8" s="15"/>
      <c r="J8" s="15"/>
      <c r="K8" s="15"/>
      <c r="L8" s="15"/>
      <c r="M8" s="15"/>
      <c r="N8" s="132"/>
      <c r="O8" s="16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</row>
    <row r="9" spans="1:26" s="9" customFormat="1" ht="15.75">
      <c r="A9" s="17" t="s">
        <v>18</v>
      </c>
      <c r="B9" s="18">
        <v>40</v>
      </c>
      <c r="C9" s="18">
        <v>40</v>
      </c>
      <c r="D9" s="18">
        <v>40</v>
      </c>
      <c r="E9" s="18">
        <v>40</v>
      </c>
      <c r="F9" s="18">
        <v>40</v>
      </c>
      <c r="G9" s="18">
        <v>40</v>
      </c>
      <c r="H9" s="18">
        <v>40</v>
      </c>
      <c r="I9" s="18">
        <v>40</v>
      </c>
      <c r="J9" s="18">
        <v>40</v>
      </c>
      <c r="K9" s="18">
        <v>40</v>
      </c>
      <c r="L9" s="18">
        <v>40</v>
      </c>
      <c r="M9" s="18">
        <v>40</v>
      </c>
      <c r="N9" s="133">
        <f>SUM(B9:M9)</f>
        <v>480</v>
      </c>
      <c r="O9" s="19">
        <f>IF(N9=0,0,AVERAGE(B9:M9))</f>
        <v>40</v>
      </c>
      <c r="P9" s="8"/>
      <c r="Q9" s="8"/>
      <c r="R9" s="8"/>
      <c r="S9" s="8"/>
      <c r="T9" s="8"/>
      <c r="U9" s="8"/>
      <c r="V9" s="8"/>
      <c r="W9" s="8"/>
      <c r="X9" s="8"/>
      <c r="Y9" s="8"/>
      <c r="Z9" s="8"/>
    </row>
    <row r="10" spans="1:26" s="9" customFormat="1" ht="15.75">
      <c r="A10" s="17" t="s">
        <v>19</v>
      </c>
      <c r="B10" s="18">
        <v>20</v>
      </c>
      <c r="C10" s="18">
        <v>20</v>
      </c>
      <c r="D10" s="18">
        <v>20</v>
      </c>
      <c r="E10" s="18">
        <v>20</v>
      </c>
      <c r="F10" s="18">
        <v>20</v>
      </c>
      <c r="G10" s="18">
        <v>20</v>
      </c>
      <c r="H10" s="18">
        <v>20</v>
      </c>
      <c r="I10" s="18">
        <v>20</v>
      </c>
      <c r="J10" s="18">
        <v>20</v>
      </c>
      <c r="K10" s="18">
        <v>20</v>
      </c>
      <c r="L10" s="18">
        <v>20</v>
      </c>
      <c r="M10" s="18">
        <v>20</v>
      </c>
      <c r="N10" s="133">
        <f>SUM(B10:M10)</f>
        <v>240</v>
      </c>
      <c r="O10" s="19">
        <f>IF(N10=0,0,AVERAGE(B10:M10))</f>
        <v>20</v>
      </c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</row>
    <row r="11" spans="1:26" s="9" customFormat="1" ht="15.75">
      <c r="A11" s="17" t="s">
        <v>20</v>
      </c>
      <c r="B11" s="18">
        <v>10</v>
      </c>
      <c r="C11" s="18">
        <v>10</v>
      </c>
      <c r="D11" s="18">
        <v>10</v>
      </c>
      <c r="E11" s="18">
        <v>10</v>
      </c>
      <c r="F11" s="18">
        <v>10</v>
      </c>
      <c r="G11" s="18">
        <v>10</v>
      </c>
      <c r="H11" s="18">
        <v>10</v>
      </c>
      <c r="I11" s="18">
        <v>10</v>
      </c>
      <c r="J11" s="18">
        <v>10</v>
      </c>
      <c r="K11" s="18">
        <v>10</v>
      </c>
      <c r="L11" s="18">
        <v>10</v>
      </c>
      <c r="M11" s="18">
        <v>10</v>
      </c>
      <c r="N11" s="133">
        <f>SUM(B11:M11)</f>
        <v>120</v>
      </c>
      <c r="O11" s="19">
        <f>IF(N11=0,0,AVERAGE(B11:M11))</f>
        <v>10</v>
      </c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</row>
    <row r="12" spans="1:26" s="9" customFormat="1" ht="15.75">
      <c r="A12" s="20" t="s">
        <v>21</v>
      </c>
      <c r="B12" s="21">
        <f t="shared" ref="B12:C12" si="0">IF(SUM(B9:B11)=0,"",SUM(B9:B11))</f>
        <v>70</v>
      </c>
      <c r="C12" s="21">
        <f t="shared" si="0"/>
        <v>70</v>
      </c>
      <c r="D12" s="21">
        <f t="shared" ref="D12:E12" si="1">IF(SUM(D9:D11)=0,"",SUM(D9:D11))</f>
        <v>70</v>
      </c>
      <c r="E12" s="21">
        <f t="shared" si="1"/>
        <v>70</v>
      </c>
      <c r="F12" s="21">
        <f t="shared" ref="F12:G12" si="2">IF(SUM(F9:F11)=0,"",SUM(F9:F11))</f>
        <v>70</v>
      </c>
      <c r="G12" s="21">
        <f t="shared" si="2"/>
        <v>70</v>
      </c>
      <c r="H12" s="21">
        <f t="shared" ref="H12:I12" si="3">IF(SUM(H9:H11)=0,"",SUM(H9:H11))</f>
        <v>70</v>
      </c>
      <c r="I12" s="21">
        <f t="shared" si="3"/>
        <v>70</v>
      </c>
      <c r="J12" s="21">
        <f t="shared" ref="J12:K12" si="4">IF(SUM(J9:J11)=0,"",SUM(J9:J11))</f>
        <v>70</v>
      </c>
      <c r="K12" s="21">
        <f t="shared" si="4"/>
        <v>70</v>
      </c>
      <c r="L12" s="21">
        <f t="shared" ref="L12:M12" si="5">IF(SUM(L9:L11)=0,"",SUM(L9:L11))</f>
        <v>70</v>
      </c>
      <c r="M12" s="21">
        <f t="shared" si="5"/>
        <v>70</v>
      </c>
      <c r="N12" s="128">
        <f>SUM(N9:N11)</f>
        <v>840</v>
      </c>
      <c r="O12" s="22">
        <f>SUM(O9:O11)</f>
        <v>70</v>
      </c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</row>
    <row r="13" spans="1:26" s="9" customFormat="1">
      <c r="A13" s="23"/>
      <c r="B13" s="24"/>
      <c r="C13" s="24"/>
      <c r="D13" s="24"/>
      <c r="E13" s="24"/>
      <c r="F13" s="24"/>
      <c r="G13" s="24"/>
      <c r="H13" s="24"/>
      <c r="I13" s="24"/>
      <c r="J13" s="24"/>
      <c r="K13" s="24"/>
      <c r="L13" s="24"/>
      <c r="M13" s="24"/>
      <c r="N13" s="134"/>
      <c r="O13" s="13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</row>
    <row r="14" spans="1:26" s="9" customFormat="1" ht="15.75">
      <c r="A14" s="14" t="s">
        <v>23</v>
      </c>
      <c r="B14" s="15"/>
      <c r="C14" s="15"/>
      <c r="D14" s="540" t="s">
        <v>841</v>
      </c>
      <c r="E14" s="540" t="s">
        <v>841</v>
      </c>
      <c r="F14" s="15"/>
      <c r="G14" s="15"/>
      <c r="H14" s="15"/>
      <c r="I14" s="15"/>
      <c r="J14" s="15"/>
      <c r="K14" s="15"/>
      <c r="L14" s="15"/>
      <c r="M14" s="15"/>
      <c r="N14" s="132"/>
      <c r="O14" s="16"/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</row>
    <row r="15" spans="1:26" s="9" customFormat="1" ht="15.75">
      <c r="A15" s="17" t="s">
        <v>18</v>
      </c>
      <c r="B15" s="18">
        <f t="shared" ref="B15:I15" si="6">IF(B9="","",B9*B1676)</f>
        <v>1240</v>
      </c>
      <c r="C15" s="18">
        <f t="shared" si="6"/>
        <v>1120</v>
      </c>
      <c r="D15" s="18">
        <f t="shared" si="6"/>
        <v>1240</v>
      </c>
      <c r="E15" s="18">
        <f t="shared" si="6"/>
        <v>1200</v>
      </c>
      <c r="F15" s="18">
        <f t="shared" si="6"/>
        <v>1240</v>
      </c>
      <c r="G15" s="18">
        <f t="shared" si="6"/>
        <v>1200</v>
      </c>
      <c r="H15" s="18">
        <f t="shared" si="6"/>
        <v>1240</v>
      </c>
      <c r="I15" s="18">
        <f t="shared" si="6"/>
        <v>1240</v>
      </c>
      <c r="J15" s="18">
        <f t="shared" ref="J15:K15" si="7">IF(J9="","",J9*J1676)</f>
        <v>1200</v>
      </c>
      <c r="K15" s="18">
        <f t="shared" si="7"/>
        <v>1240</v>
      </c>
      <c r="L15" s="18">
        <f t="shared" ref="L15:M15" si="8">IF(L9="","",L9*L1676)</f>
        <v>1200</v>
      </c>
      <c r="M15" s="18">
        <f t="shared" si="8"/>
        <v>1240</v>
      </c>
      <c r="N15" s="133">
        <f>SUM(B15:M15)</f>
        <v>14600</v>
      </c>
      <c r="O15" s="19">
        <f>IF(N15=0,0,AVERAGE(B15:M15))</f>
        <v>1216.6666666666667</v>
      </c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</row>
    <row r="16" spans="1:26" s="9" customFormat="1" ht="15.75">
      <c r="A16" s="17" t="s">
        <v>19</v>
      </c>
      <c r="B16" s="18">
        <f t="shared" ref="B16:I16" si="9">IF(B10="","",B10*B1676)</f>
        <v>620</v>
      </c>
      <c r="C16" s="18">
        <f t="shared" si="9"/>
        <v>560</v>
      </c>
      <c r="D16" s="18">
        <f t="shared" si="9"/>
        <v>620</v>
      </c>
      <c r="E16" s="18">
        <f t="shared" si="9"/>
        <v>600</v>
      </c>
      <c r="F16" s="18">
        <f t="shared" si="9"/>
        <v>620</v>
      </c>
      <c r="G16" s="18">
        <f t="shared" si="9"/>
        <v>600</v>
      </c>
      <c r="H16" s="18">
        <f t="shared" si="9"/>
        <v>620</v>
      </c>
      <c r="I16" s="18">
        <f t="shared" si="9"/>
        <v>620</v>
      </c>
      <c r="J16" s="18">
        <f t="shared" ref="J16:K16" si="10">IF(J10="","",J10*J1676)</f>
        <v>600</v>
      </c>
      <c r="K16" s="18">
        <f t="shared" si="10"/>
        <v>620</v>
      </c>
      <c r="L16" s="18">
        <f t="shared" ref="L16:M16" si="11">IF(L10="","",L10*L1676)</f>
        <v>600</v>
      </c>
      <c r="M16" s="18">
        <f t="shared" si="11"/>
        <v>620</v>
      </c>
      <c r="N16" s="133">
        <f>SUM(B16:M16)</f>
        <v>7300</v>
      </c>
      <c r="O16" s="19">
        <f>IF(N16=0,0,AVERAGE(B16:M16))</f>
        <v>608.33333333333337</v>
      </c>
      <c r="P16" s="8"/>
      <c r="Q16" s="8"/>
      <c r="R16" s="8"/>
      <c r="S16" s="8"/>
      <c r="T16" s="8"/>
      <c r="U16" s="8"/>
      <c r="V16" s="8"/>
      <c r="W16" s="8"/>
      <c r="X16" s="8"/>
      <c r="Y16" s="8"/>
      <c r="Z16" s="8"/>
    </row>
    <row r="17" spans="1:26" s="9" customFormat="1" ht="15.75">
      <c r="A17" s="17" t="s">
        <v>20</v>
      </c>
      <c r="B17" s="18">
        <f t="shared" ref="B17:I17" si="12">IF(B11="","",B11*B1676)</f>
        <v>310</v>
      </c>
      <c r="C17" s="18">
        <f t="shared" si="12"/>
        <v>280</v>
      </c>
      <c r="D17" s="18">
        <f t="shared" si="12"/>
        <v>310</v>
      </c>
      <c r="E17" s="18">
        <f t="shared" si="12"/>
        <v>300</v>
      </c>
      <c r="F17" s="18">
        <f t="shared" si="12"/>
        <v>310</v>
      </c>
      <c r="G17" s="18">
        <f t="shared" si="12"/>
        <v>300</v>
      </c>
      <c r="H17" s="18">
        <f t="shared" si="12"/>
        <v>310</v>
      </c>
      <c r="I17" s="18">
        <f t="shared" si="12"/>
        <v>310</v>
      </c>
      <c r="J17" s="18">
        <f t="shared" ref="J17:K17" si="13">IF(J11="","",J11*J1676)</f>
        <v>300</v>
      </c>
      <c r="K17" s="18">
        <f t="shared" si="13"/>
        <v>310</v>
      </c>
      <c r="L17" s="18">
        <f t="shared" ref="L17:M17" si="14">IF(L11="","",L11*L1676)</f>
        <v>300</v>
      </c>
      <c r="M17" s="18">
        <f t="shared" si="14"/>
        <v>310</v>
      </c>
      <c r="N17" s="133">
        <f>SUM(B17:M17)</f>
        <v>3650</v>
      </c>
      <c r="O17" s="19">
        <f>IF(N17=0,0,AVERAGE(B17:M17))</f>
        <v>304.16666666666669</v>
      </c>
      <c r="P17" s="10"/>
      <c r="Q17" s="10"/>
      <c r="R17" s="10"/>
      <c r="S17" s="10"/>
      <c r="T17" s="10"/>
      <c r="U17" s="10"/>
      <c r="V17" s="10"/>
      <c r="W17" s="10"/>
      <c r="X17" s="10"/>
      <c r="Y17" s="10"/>
      <c r="Z17" s="10"/>
    </row>
    <row r="18" spans="1:26" s="9" customFormat="1" ht="15.75">
      <c r="A18" s="20" t="s">
        <v>21</v>
      </c>
      <c r="B18" s="21">
        <f t="shared" ref="B18:C18" si="15">IF(SUM(B15:B17)=0,"",SUM(B15:B17))</f>
        <v>2170</v>
      </c>
      <c r="C18" s="21">
        <f t="shared" si="15"/>
        <v>1960</v>
      </c>
      <c r="D18" s="21">
        <f t="shared" ref="D18:E18" si="16">IF(SUM(D15:D17)=0,"",SUM(D15:D17))</f>
        <v>2170</v>
      </c>
      <c r="E18" s="21">
        <f t="shared" si="16"/>
        <v>2100</v>
      </c>
      <c r="F18" s="21">
        <f t="shared" ref="F18:G18" si="17">IF(SUM(F15:F17)=0,"",SUM(F15:F17))</f>
        <v>2170</v>
      </c>
      <c r="G18" s="21">
        <f t="shared" si="17"/>
        <v>2100</v>
      </c>
      <c r="H18" s="21">
        <f t="shared" ref="H18:I18" si="18">IF(SUM(H15:H17)=0,"",SUM(H15:H17))</f>
        <v>2170</v>
      </c>
      <c r="I18" s="21">
        <f t="shared" si="18"/>
        <v>2170</v>
      </c>
      <c r="J18" s="21">
        <f t="shared" ref="J18:K18" si="19">IF(SUM(J15:J17)=0,"",SUM(J15:J17))</f>
        <v>2100</v>
      </c>
      <c r="K18" s="21">
        <f t="shared" si="19"/>
        <v>2170</v>
      </c>
      <c r="L18" s="21">
        <f t="shared" ref="L18:M18" si="20">IF(SUM(L15:L17)=0,"",SUM(L15:L17))</f>
        <v>2100</v>
      </c>
      <c r="M18" s="21">
        <f t="shared" si="20"/>
        <v>2170</v>
      </c>
      <c r="N18" s="128">
        <f>SUM(N15:N17)</f>
        <v>25550</v>
      </c>
      <c r="O18" s="22">
        <f>SUM(O15:O17)</f>
        <v>2129.1666666666665</v>
      </c>
      <c r="P18" s="8"/>
      <c r="Q18" s="8"/>
      <c r="R18" s="8"/>
      <c r="S18" s="8"/>
      <c r="T18" s="8"/>
      <c r="U18" s="8"/>
      <c r="V18" s="8"/>
      <c r="W18" s="8"/>
      <c r="X18" s="8"/>
      <c r="Y18" s="8"/>
      <c r="Z18" s="8"/>
    </row>
    <row r="19" spans="1:26" s="9" customFormat="1">
      <c r="A19" s="23"/>
      <c r="B19" s="24"/>
      <c r="C19" s="24"/>
      <c r="D19" s="24"/>
      <c r="E19" s="25"/>
      <c r="F19" s="25"/>
      <c r="G19" s="25"/>
      <c r="H19" s="25"/>
      <c r="I19" s="25"/>
      <c r="J19" s="25"/>
      <c r="K19" s="25"/>
      <c r="L19" s="25"/>
      <c r="M19" s="25"/>
      <c r="N19" s="134"/>
      <c r="O19" s="13"/>
      <c r="P19" s="8"/>
      <c r="Q19" s="8"/>
      <c r="R19" s="8"/>
      <c r="S19" s="8"/>
      <c r="T19" s="8"/>
      <c r="U19" s="8"/>
      <c r="V19" s="8"/>
      <c r="W19" s="8"/>
      <c r="X19" s="8"/>
      <c r="Y19" s="8"/>
      <c r="Z19" s="8"/>
    </row>
    <row r="20" spans="1:26" s="9" customFormat="1" ht="15.75">
      <c r="A20" s="14" t="s">
        <v>24</v>
      </c>
      <c r="B20" s="27"/>
      <c r="C20" s="27"/>
      <c r="D20" s="27"/>
      <c r="E20" s="27"/>
      <c r="F20" s="27"/>
      <c r="G20" s="27"/>
      <c r="H20" s="27"/>
      <c r="I20" s="27"/>
      <c r="J20" s="27"/>
      <c r="K20" s="27"/>
      <c r="L20" s="27"/>
      <c r="M20" s="27"/>
      <c r="N20" s="135"/>
      <c r="O20" s="28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</row>
    <row r="21" spans="1:26" s="9" customFormat="1" ht="15.75">
      <c r="A21" s="29" t="s">
        <v>29</v>
      </c>
      <c r="B21" s="18">
        <v>0</v>
      </c>
      <c r="C21" s="18">
        <v>0</v>
      </c>
      <c r="D21" s="18">
        <v>18</v>
      </c>
      <c r="E21" s="18">
        <v>11</v>
      </c>
      <c r="F21" s="18">
        <v>6</v>
      </c>
      <c r="G21" s="18">
        <v>0</v>
      </c>
      <c r="H21" s="18">
        <v>0</v>
      </c>
      <c r="I21" s="18">
        <v>0</v>
      </c>
      <c r="J21" s="18">
        <v>0</v>
      </c>
      <c r="K21" s="18">
        <v>0</v>
      </c>
      <c r="L21" s="18">
        <v>9</v>
      </c>
      <c r="M21" s="18">
        <v>131</v>
      </c>
      <c r="N21" s="133">
        <f>SUM(B21:M21)</f>
        <v>175</v>
      </c>
      <c r="O21" s="19">
        <f>IF(N21=0,0,AVERAGE(B21:M21))</f>
        <v>14.583333333333334</v>
      </c>
      <c r="P21" s="8"/>
      <c r="Q21" s="8"/>
      <c r="R21" s="8"/>
      <c r="S21" s="8"/>
      <c r="T21" s="8"/>
      <c r="U21" s="8"/>
      <c r="V21" s="8"/>
      <c r="W21" s="8"/>
      <c r="X21" s="8"/>
      <c r="Y21" s="8"/>
      <c r="Z21" s="8"/>
    </row>
    <row r="22" spans="1:26" s="9" customFormat="1" ht="15.75">
      <c r="A22" s="29" t="s">
        <v>26</v>
      </c>
      <c r="B22" s="18">
        <v>87</v>
      </c>
      <c r="C22" s="18">
        <v>67</v>
      </c>
      <c r="D22" s="18">
        <v>26</v>
      </c>
      <c r="E22" s="18">
        <v>0</v>
      </c>
      <c r="F22" s="18">
        <v>63</v>
      </c>
      <c r="G22" s="18">
        <v>76</v>
      </c>
      <c r="H22" s="18">
        <v>49</v>
      </c>
      <c r="I22" s="18">
        <v>60</v>
      </c>
      <c r="J22" s="18">
        <v>58</v>
      </c>
      <c r="K22" s="18">
        <v>61</v>
      </c>
      <c r="L22" s="18">
        <v>34</v>
      </c>
      <c r="M22" s="18">
        <v>82</v>
      </c>
      <c r="N22" s="133">
        <f t="shared" ref="N22:N41" si="21">SUM(B22:M22)</f>
        <v>663</v>
      </c>
      <c r="O22" s="19">
        <f t="shared" ref="O22:O41" si="22">IF(N22=0,0,AVERAGE(B22:M22))</f>
        <v>55.25</v>
      </c>
      <c r="P22" s="8"/>
      <c r="Q22" s="8"/>
      <c r="R22" s="8"/>
      <c r="S22" s="8"/>
      <c r="T22" s="8"/>
      <c r="U22" s="8"/>
      <c r="V22" s="8"/>
      <c r="W22" s="8"/>
      <c r="X22" s="8"/>
      <c r="Y22" s="8"/>
      <c r="Z22" s="8"/>
    </row>
    <row r="23" spans="1:26" s="9" customFormat="1" ht="15.75">
      <c r="A23" s="29" t="s">
        <v>305</v>
      </c>
      <c r="B23" s="18">
        <v>0</v>
      </c>
      <c r="C23" s="18">
        <v>3</v>
      </c>
      <c r="D23" s="18">
        <v>24</v>
      </c>
      <c r="E23" s="18">
        <v>0</v>
      </c>
      <c r="F23" s="18">
        <v>58</v>
      </c>
      <c r="G23" s="18">
        <v>55</v>
      </c>
      <c r="H23" s="18">
        <v>88</v>
      </c>
      <c r="I23" s="18">
        <v>119</v>
      </c>
      <c r="J23" s="18">
        <v>170</v>
      </c>
      <c r="K23" s="18">
        <v>173</v>
      </c>
      <c r="L23" s="18">
        <v>127</v>
      </c>
      <c r="M23" s="18">
        <v>134</v>
      </c>
      <c r="N23" s="133">
        <f t="shared" si="21"/>
        <v>951</v>
      </c>
      <c r="O23" s="19">
        <f t="shared" si="22"/>
        <v>79.25</v>
      </c>
      <c r="P23" s="8"/>
      <c r="Q23" s="8"/>
      <c r="R23" s="8"/>
      <c r="S23" s="8"/>
      <c r="T23" s="8"/>
      <c r="U23" s="8"/>
      <c r="V23" s="8"/>
      <c r="W23" s="8"/>
      <c r="X23" s="8"/>
      <c r="Y23" s="8"/>
      <c r="Z23" s="8"/>
    </row>
    <row r="24" spans="1:26" s="9" customFormat="1" ht="15.75">
      <c r="A24" s="29" t="s">
        <v>25</v>
      </c>
      <c r="B24" s="18">
        <v>481</v>
      </c>
      <c r="C24" s="18">
        <v>530</v>
      </c>
      <c r="D24" s="18">
        <v>185</v>
      </c>
      <c r="E24" s="18">
        <v>102</v>
      </c>
      <c r="F24" s="18">
        <v>493</v>
      </c>
      <c r="G24" s="18">
        <v>397</v>
      </c>
      <c r="H24" s="18">
        <v>375</v>
      </c>
      <c r="I24" s="18">
        <v>500</v>
      </c>
      <c r="J24" s="18">
        <v>411</v>
      </c>
      <c r="K24" s="18">
        <v>354</v>
      </c>
      <c r="L24" s="18">
        <v>410</v>
      </c>
      <c r="M24" s="18">
        <v>370</v>
      </c>
      <c r="N24" s="133">
        <f t="shared" si="21"/>
        <v>4608</v>
      </c>
      <c r="O24" s="19">
        <f t="shared" si="22"/>
        <v>384</v>
      </c>
      <c r="P24" s="8"/>
      <c r="Q24" s="8"/>
      <c r="R24" s="8"/>
      <c r="S24" s="8"/>
      <c r="T24" s="8"/>
      <c r="U24" s="8"/>
      <c r="V24" s="8"/>
      <c r="W24" s="8"/>
      <c r="X24" s="8"/>
      <c r="Y24" s="8"/>
      <c r="Z24" s="8"/>
    </row>
    <row r="25" spans="1:26" s="9" customFormat="1" ht="15.75">
      <c r="A25" s="29" t="s">
        <v>27</v>
      </c>
      <c r="B25" s="18">
        <v>0</v>
      </c>
      <c r="C25" s="18">
        <v>0</v>
      </c>
      <c r="D25" s="18">
        <v>0</v>
      </c>
      <c r="E25" s="18">
        <v>0</v>
      </c>
      <c r="F25" s="18">
        <v>10</v>
      </c>
      <c r="G25" s="18">
        <v>24</v>
      </c>
      <c r="H25" s="18">
        <v>31</v>
      </c>
      <c r="I25" s="18">
        <v>27</v>
      </c>
      <c r="J25" s="18">
        <v>16</v>
      </c>
      <c r="K25" s="18">
        <v>11</v>
      </c>
      <c r="L25" s="18">
        <v>19</v>
      </c>
      <c r="M25" s="18">
        <v>14</v>
      </c>
      <c r="N25" s="133">
        <f t="shared" si="21"/>
        <v>152</v>
      </c>
      <c r="O25" s="19">
        <f t="shared" si="22"/>
        <v>12.666666666666666</v>
      </c>
      <c r="P25" s="8"/>
      <c r="Q25" s="8"/>
      <c r="R25" s="8"/>
      <c r="S25" s="8"/>
      <c r="T25" s="8"/>
      <c r="U25" s="8"/>
      <c r="V25" s="8"/>
      <c r="W25" s="8"/>
      <c r="X25" s="8"/>
      <c r="Y25" s="8"/>
      <c r="Z25" s="8"/>
    </row>
    <row r="26" spans="1:26" s="9" customFormat="1" ht="15.75">
      <c r="A26" s="29" t="s">
        <v>101</v>
      </c>
      <c r="B26" s="18">
        <v>0</v>
      </c>
      <c r="C26" s="18">
        <v>0</v>
      </c>
      <c r="D26" s="18">
        <v>0</v>
      </c>
      <c r="E26" s="18">
        <v>0</v>
      </c>
      <c r="F26" s="18">
        <v>14</v>
      </c>
      <c r="G26" s="18">
        <v>0</v>
      </c>
      <c r="H26" s="18">
        <v>0</v>
      </c>
      <c r="I26" s="18">
        <v>0</v>
      </c>
      <c r="J26" s="18">
        <v>0</v>
      </c>
      <c r="K26" s="18">
        <v>0</v>
      </c>
      <c r="L26" s="18">
        <v>0</v>
      </c>
      <c r="M26" s="18">
        <v>0</v>
      </c>
      <c r="N26" s="133">
        <f t="shared" si="21"/>
        <v>14</v>
      </c>
      <c r="O26" s="19">
        <f t="shared" si="22"/>
        <v>1.1666666666666667</v>
      </c>
      <c r="P26" s="8"/>
      <c r="Q26" s="8"/>
      <c r="R26" s="8"/>
      <c r="S26" s="8"/>
      <c r="T26" s="8"/>
      <c r="U26" s="8"/>
      <c r="V26" s="8"/>
      <c r="W26" s="8"/>
      <c r="X26" s="8"/>
      <c r="Y26" s="8"/>
      <c r="Z26" s="8"/>
    </row>
    <row r="27" spans="1:26" s="9" customFormat="1" ht="15.75">
      <c r="A27" s="29" t="s">
        <v>19</v>
      </c>
      <c r="B27" s="18">
        <v>135</v>
      </c>
      <c r="C27" s="18">
        <v>205</v>
      </c>
      <c r="D27" s="18">
        <v>443</v>
      </c>
      <c r="E27" s="18">
        <v>417</v>
      </c>
      <c r="F27" s="18">
        <v>299</v>
      </c>
      <c r="G27" s="18">
        <v>281</v>
      </c>
      <c r="H27" s="18">
        <v>148</v>
      </c>
      <c r="I27" s="18">
        <v>239</v>
      </c>
      <c r="J27" s="18">
        <v>280</v>
      </c>
      <c r="K27" s="18">
        <v>356</v>
      </c>
      <c r="L27" s="18">
        <v>374</v>
      </c>
      <c r="M27" s="18">
        <v>336</v>
      </c>
      <c r="N27" s="133">
        <f t="shared" si="21"/>
        <v>3513</v>
      </c>
      <c r="O27" s="19">
        <f t="shared" si="22"/>
        <v>292.75</v>
      </c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</row>
    <row r="28" spans="1:26" s="9" customFormat="1" ht="15.75">
      <c r="A28" s="29" t="s">
        <v>28</v>
      </c>
      <c r="B28" s="18">
        <v>237</v>
      </c>
      <c r="C28" s="18">
        <v>222</v>
      </c>
      <c r="D28" s="18">
        <v>48</v>
      </c>
      <c r="E28" s="18">
        <v>6</v>
      </c>
      <c r="F28" s="18">
        <v>171</v>
      </c>
      <c r="G28" s="18">
        <v>127</v>
      </c>
      <c r="H28" s="18">
        <v>178</v>
      </c>
      <c r="I28" s="18">
        <v>100</v>
      </c>
      <c r="J28" s="18">
        <v>89</v>
      </c>
      <c r="K28" s="18">
        <v>183</v>
      </c>
      <c r="L28" s="18">
        <v>246</v>
      </c>
      <c r="M28" s="18">
        <v>101</v>
      </c>
      <c r="N28" s="133">
        <f t="shared" si="21"/>
        <v>1708</v>
      </c>
      <c r="O28" s="19">
        <f t="shared" si="22"/>
        <v>142.33333333333334</v>
      </c>
      <c r="P28" s="8"/>
      <c r="Q28" s="8"/>
      <c r="R28" s="8"/>
      <c r="S28" s="8"/>
      <c r="T28" s="8"/>
      <c r="U28" s="8"/>
      <c r="V28" s="8"/>
      <c r="W28" s="8"/>
      <c r="X28" s="8"/>
      <c r="Y28" s="8"/>
      <c r="Z28" s="8"/>
    </row>
    <row r="29" spans="1:26" s="9" customFormat="1" ht="15.75">
      <c r="A29" s="29" t="s">
        <v>124</v>
      </c>
      <c r="B29" s="18">
        <v>0</v>
      </c>
      <c r="C29" s="18">
        <v>0</v>
      </c>
      <c r="D29" s="18">
        <v>0</v>
      </c>
      <c r="E29" s="18">
        <v>0</v>
      </c>
      <c r="F29" s="18">
        <v>0</v>
      </c>
      <c r="G29" s="18">
        <v>0</v>
      </c>
      <c r="H29" s="18">
        <v>0</v>
      </c>
      <c r="I29" s="18">
        <v>0</v>
      </c>
      <c r="J29" s="18">
        <v>0</v>
      </c>
      <c r="K29" s="18">
        <v>0</v>
      </c>
      <c r="L29" s="18">
        <v>0</v>
      </c>
      <c r="M29" s="18">
        <v>0</v>
      </c>
      <c r="N29" s="133">
        <f t="shared" si="21"/>
        <v>0</v>
      </c>
      <c r="O29" s="19">
        <f t="shared" si="22"/>
        <v>0</v>
      </c>
      <c r="P29" s="8"/>
      <c r="Q29" s="8"/>
      <c r="R29" s="8"/>
      <c r="S29" s="8"/>
      <c r="T29" s="8"/>
      <c r="U29" s="8"/>
      <c r="V29" s="8"/>
      <c r="W29" s="8"/>
      <c r="X29" s="8"/>
      <c r="Y29" s="8"/>
      <c r="Z29" s="8"/>
    </row>
    <row r="30" spans="1:26" s="9" customFormat="1" ht="15.75">
      <c r="A30" s="29" t="s">
        <v>31</v>
      </c>
      <c r="B30" s="18">
        <v>13</v>
      </c>
      <c r="C30" s="18">
        <v>0</v>
      </c>
      <c r="D30" s="18">
        <v>10</v>
      </c>
      <c r="E30" s="18">
        <v>20</v>
      </c>
      <c r="F30" s="18">
        <v>22</v>
      </c>
      <c r="G30" s="18">
        <v>20</v>
      </c>
      <c r="H30" s="18">
        <v>67</v>
      </c>
      <c r="I30" s="18">
        <v>50</v>
      </c>
      <c r="J30" s="18">
        <v>29</v>
      </c>
      <c r="K30" s="18">
        <v>29</v>
      </c>
      <c r="L30" s="18">
        <v>35</v>
      </c>
      <c r="M30" s="18">
        <f>29+9</f>
        <v>38</v>
      </c>
      <c r="N30" s="133">
        <f t="shared" si="21"/>
        <v>333</v>
      </c>
      <c r="O30" s="19">
        <f t="shared" si="22"/>
        <v>27.75</v>
      </c>
      <c r="P30" s="8"/>
      <c r="Q30" s="8"/>
      <c r="R30" s="8"/>
      <c r="S30" s="8"/>
      <c r="T30" s="8"/>
      <c r="U30" s="8"/>
      <c r="V30" s="8"/>
      <c r="W30" s="8"/>
      <c r="X30" s="8"/>
      <c r="Y30" s="8"/>
      <c r="Z30" s="8"/>
    </row>
    <row r="31" spans="1:26" s="9" customFormat="1" ht="15.75">
      <c r="A31" s="29" t="s">
        <v>30</v>
      </c>
      <c r="B31" s="18">
        <v>5</v>
      </c>
      <c r="C31" s="18">
        <v>23</v>
      </c>
      <c r="D31" s="18">
        <v>24</v>
      </c>
      <c r="E31" s="18">
        <v>22</v>
      </c>
      <c r="F31" s="18">
        <v>48</v>
      </c>
      <c r="G31" s="18">
        <v>0</v>
      </c>
      <c r="H31" s="18">
        <v>9</v>
      </c>
      <c r="I31" s="18">
        <v>0</v>
      </c>
      <c r="J31" s="18">
        <v>0</v>
      </c>
      <c r="K31" s="18">
        <v>0</v>
      </c>
      <c r="L31" s="18">
        <v>0</v>
      </c>
      <c r="M31" s="18">
        <v>0</v>
      </c>
      <c r="N31" s="133">
        <f t="shared" si="21"/>
        <v>131</v>
      </c>
      <c r="O31" s="19">
        <f t="shared" si="22"/>
        <v>10.916666666666666</v>
      </c>
      <c r="P31" s="8"/>
      <c r="Q31" s="8"/>
      <c r="R31" s="8"/>
      <c r="S31" s="8"/>
      <c r="T31" s="8"/>
      <c r="U31" s="8"/>
      <c r="V31" s="8"/>
      <c r="W31" s="8"/>
      <c r="X31" s="8"/>
      <c r="Y31" s="8"/>
      <c r="Z31" s="8"/>
    </row>
    <row r="32" spans="1:26" s="9" customFormat="1" ht="15.75">
      <c r="A32" s="29" t="s">
        <v>319</v>
      </c>
      <c r="B32" s="18">
        <v>0</v>
      </c>
      <c r="C32" s="18">
        <v>0</v>
      </c>
      <c r="D32" s="18">
        <v>0</v>
      </c>
      <c r="E32" s="18">
        <v>0</v>
      </c>
      <c r="F32" s="18">
        <v>0</v>
      </c>
      <c r="G32" s="18">
        <v>0</v>
      </c>
      <c r="H32" s="18">
        <v>0</v>
      </c>
      <c r="I32" s="18">
        <v>0</v>
      </c>
      <c r="J32" s="18">
        <v>0</v>
      </c>
      <c r="K32" s="18">
        <v>0</v>
      </c>
      <c r="L32" s="18">
        <v>0</v>
      </c>
      <c r="M32" s="18">
        <v>0</v>
      </c>
      <c r="N32" s="133">
        <f t="shared" si="21"/>
        <v>0</v>
      </c>
      <c r="O32" s="19">
        <f t="shared" si="22"/>
        <v>0</v>
      </c>
      <c r="P32" s="8"/>
      <c r="Q32" s="8"/>
      <c r="R32" s="8"/>
      <c r="S32" s="8"/>
      <c r="T32" s="8"/>
      <c r="U32" s="8"/>
      <c r="V32" s="8"/>
      <c r="W32" s="8"/>
      <c r="X32" s="8"/>
      <c r="Y32" s="8"/>
      <c r="Z32" s="8"/>
    </row>
    <row r="33" spans="1:26" s="9" customFormat="1" ht="15.75">
      <c r="A33" s="29" t="s">
        <v>125</v>
      </c>
      <c r="B33" s="18">
        <v>10</v>
      </c>
      <c r="C33" s="18">
        <v>11</v>
      </c>
      <c r="D33" s="18">
        <v>18</v>
      </c>
      <c r="E33" s="18">
        <v>7</v>
      </c>
      <c r="F33" s="18">
        <v>21</v>
      </c>
      <c r="G33" s="18">
        <v>0</v>
      </c>
      <c r="H33" s="18">
        <v>20</v>
      </c>
      <c r="I33" s="18">
        <v>25</v>
      </c>
      <c r="J33" s="18">
        <v>0</v>
      </c>
      <c r="K33" s="18">
        <v>0</v>
      </c>
      <c r="L33" s="18">
        <v>0</v>
      </c>
      <c r="M33" s="18">
        <v>0</v>
      </c>
      <c r="N33" s="133">
        <f t="shared" si="21"/>
        <v>112</v>
      </c>
      <c r="O33" s="19">
        <f t="shared" si="22"/>
        <v>9.3333333333333339</v>
      </c>
      <c r="P33" s="8"/>
      <c r="Q33" s="8"/>
      <c r="R33" s="8"/>
      <c r="S33" s="8"/>
      <c r="T33" s="8"/>
      <c r="U33" s="8"/>
      <c r="V33" s="8"/>
      <c r="W33" s="8"/>
      <c r="X33" s="8"/>
      <c r="Y33" s="8"/>
      <c r="Z33" s="8"/>
    </row>
    <row r="34" spans="1:26" s="9" customFormat="1" ht="15.75">
      <c r="A34" s="29" t="s">
        <v>720</v>
      </c>
      <c r="B34" s="18">
        <v>0</v>
      </c>
      <c r="C34" s="18">
        <v>0</v>
      </c>
      <c r="D34" s="18">
        <v>0</v>
      </c>
      <c r="E34" s="18">
        <v>0</v>
      </c>
      <c r="F34" s="18">
        <v>1</v>
      </c>
      <c r="G34" s="18">
        <v>0</v>
      </c>
      <c r="H34" s="18">
        <v>1</v>
      </c>
      <c r="I34" s="18">
        <v>2</v>
      </c>
      <c r="J34" s="18">
        <v>2</v>
      </c>
      <c r="K34" s="18">
        <v>1</v>
      </c>
      <c r="L34" s="18">
        <v>4</v>
      </c>
      <c r="M34" s="18">
        <v>2</v>
      </c>
      <c r="N34" s="133">
        <f t="shared" si="21"/>
        <v>13</v>
      </c>
      <c r="O34" s="19">
        <f t="shared" si="22"/>
        <v>1.0833333333333333</v>
      </c>
      <c r="P34" s="8"/>
      <c r="Q34" s="8"/>
      <c r="R34" s="8"/>
      <c r="S34" s="8"/>
      <c r="T34" s="8"/>
      <c r="U34" s="8"/>
      <c r="V34" s="8"/>
      <c r="W34" s="8"/>
      <c r="X34" s="8"/>
      <c r="Y34" s="8"/>
      <c r="Z34" s="8"/>
    </row>
    <row r="35" spans="1:26" s="9" customFormat="1" ht="15.75">
      <c r="A35" s="29" t="s">
        <v>32</v>
      </c>
      <c r="B35" s="18">
        <v>266</v>
      </c>
      <c r="C35" s="18">
        <v>212</v>
      </c>
      <c r="D35" s="18">
        <v>160</v>
      </c>
      <c r="E35" s="18">
        <v>51</v>
      </c>
      <c r="F35" s="18">
        <v>72</v>
      </c>
      <c r="G35" s="18">
        <v>147</v>
      </c>
      <c r="H35" s="18">
        <v>251</v>
      </c>
      <c r="I35" s="18">
        <v>218</v>
      </c>
      <c r="J35" s="18">
        <v>182</v>
      </c>
      <c r="K35" s="18">
        <v>153</v>
      </c>
      <c r="L35" s="18">
        <v>135</v>
      </c>
      <c r="M35" s="18">
        <v>151</v>
      </c>
      <c r="N35" s="133">
        <f t="shared" si="21"/>
        <v>1998</v>
      </c>
      <c r="O35" s="19">
        <f t="shared" si="22"/>
        <v>166.5</v>
      </c>
      <c r="P35" s="10"/>
      <c r="Q35" s="10"/>
      <c r="R35" s="10"/>
      <c r="S35" s="10"/>
      <c r="T35" s="10"/>
      <c r="U35" s="10"/>
      <c r="V35" s="10"/>
      <c r="W35" s="10"/>
      <c r="X35" s="10"/>
      <c r="Y35" s="10"/>
      <c r="Z35" s="10"/>
    </row>
    <row r="36" spans="1:26" s="9" customFormat="1" ht="15.75">
      <c r="A36" s="29" t="s">
        <v>881</v>
      </c>
      <c r="B36" s="18">
        <v>0</v>
      </c>
      <c r="C36" s="18">
        <v>0</v>
      </c>
      <c r="D36" s="18">
        <v>0</v>
      </c>
      <c r="E36" s="18">
        <v>0</v>
      </c>
      <c r="F36" s="18">
        <v>0</v>
      </c>
      <c r="G36" s="18">
        <v>0</v>
      </c>
      <c r="H36" s="18">
        <v>0</v>
      </c>
      <c r="I36" s="18">
        <v>0</v>
      </c>
      <c r="J36" s="18">
        <v>0</v>
      </c>
      <c r="K36" s="18">
        <v>0</v>
      </c>
      <c r="L36" s="18">
        <v>5</v>
      </c>
      <c r="M36" s="18">
        <v>15</v>
      </c>
      <c r="N36" s="133">
        <f t="shared" si="21"/>
        <v>20</v>
      </c>
      <c r="O36" s="19">
        <f t="shared" si="22"/>
        <v>1.6666666666666667</v>
      </c>
      <c r="P36" s="10"/>
      <c r="Q36" s="10"/>
      <c r="R36" s="10"/>
      <c r="S36" s="10"/>
      <c r="T36" s="10"/>
      <c r="U36" s="10"/>
      <c r="V36" s="10"/>
      <c r="W36" s="10"/>
      <c r="X36" s="10"/>
      <c r="Y36" s="10"/>
      <c r="Z36" s="10"/>
    </row>
    <row r="37" spans="1:26" s="9" customFormat="1" ht="15.75">
      <c r="A37" s="29" t="s">
        <v>722</v>
      </c>
      <c r="B37" s="18">
        <v>35</v>
      </c>
      <c r="C37" s="18">
        <v>51</v>
      </c>
      <c r="D37" s="18">
        <v>316</v>
      </c>
      <c r="E37" s="18">
        <v>301</v>
      </c>
      <c r="F37" s="18">
        <v>16</v>
      </c>
      <c r="G37" s="18">
        <v>0</v>
      </c>
      <c r="H37" s="18">
        <v>0</v>
      </c>
      <c r="I37" s="18">
        <v>0</v>
      </c>
      <c r="J37" s="18">
        <v>0</v>
      </c>
      <c r="K37" s="18">
        <v>18</v>
      </c>
      <c r="L37" s="18">
        <v>0</v>
      </c>
      <c r="M37" s="18">
        <v>0</v>
      </c>
      <c r="N37" s="133">
        <f t="shared" si="21"/>
        <v>737</v>
      </c>
      <c r="O37" s="19">
        <f t="shared" si="22"/>
        <v>61.416666666666664</v>
      </c>
      <c r="P37" s="10"/>
      <c r="Q37" s="10"/>
      <c r="R37" s="10"/>
      <c r="S37" s="10"/>
      <c r="T37" s="10"/>
      <c r="U37" s="10"/>
      <c r="V37" s="10"/>
      <c r="W37" s="10"/>
      <c r="X37" s="10"/>
      <c r="Y37" s="10"/>
      <c r="Z37" s="10"/>
    </row>
    <row r="38" spans="1:26" s="9" customFormat="1" ht="15.75">
      <c r="A38" s="29" t="s">
        <v>723</v>
      </c>
      <c r="B38" s="18">
        <v>3</v>
      </c>
      <c r="C38" s="18">
        <v>4</v>
      </c>
      <c r="D38" s="18">
        <v>0</v>
      </c>
      <c r="E38" s="18">
        <v>0</v>
      </c>
      <c r="F38" s="18">
        <v>0</v>
      </c>
      <c r="G38" s="18">
        <v>1</v>
      </c>
      <c r="H38" s="18">
        <v>6</v>
      </c>
      <c r="I38" s="18">
        <v>7</v>
      </c>
      <c r="J38" s="18">
        <v>13</v>
      </c>
      <c r="K38" s="18">
        <v>19</v>
      </c>
      <c r="L38" s="18">
        <v>16</v>
      </c>
      <c r="M38" s="18">
        <v>19</v>
      </c>
      <c r="N38" s="133">
        <f t="shared" si="21"/>
        <v>88</v>
      </c>
      <c r="O38" s="19">
        <f t="shared" si="22"/>
        <v>7.333333333333333</v>
      </c>
      <c r="P38" s="10"/>
      <c r="Q38" s="10"/>
      <c r="R38" s="10"/>
      <c r="S38" s="10"/>
      <c r="T38" s="10"/>
      <c r="U38" s="10"/>
      <c r="V38" s="10"/>
      <c r="W38" s="10"/>
      <c r="X38" s="10"/>
      <c r="Y38" s="10"/>
      <c r="Z38" s="10"/>
    </row>
    <row r="39" spans="1:26" s="9" customFormat="1" ht="15.75">
      <c r="A39" s="29" t="s">
        <v>33</v>
      </c>
      <c r="B39" s="18">
        <v>0</v>
      </c>
      <c r="C39" s="18">
        <v>0</v>
      </c>
      <c r="D39" s="18">
        <v>0</v>
      </c>
      <c r="E39" s="18">
        <v>0</v>
      </c>
      <c r="F39" s="18">
        <v>0</v>
      </c>
      <c r="G39" s="18">
        <v>0</v>
      </c>
      <c r="H39" s="18">
        <v>0</v>
      </c>
      <c r="I39" s="18">
        <v>15</v>
      </c>
      <c r="J39" s="18">
        <v>0</v>
      </c>
      <c r="K39" s="18">
        <v>0</v>
      </c>
      <c r="L39" s="18">
        <v>0</v>
      </c>
      <c r="M39" s="18">
        <v>0</v>
      </c>
      <c r="N39" s="133">
        <f t="shared" si="21"/>
        <v>15</v>
      </c>
      <c r="O39" s="19">
        <f t="shared" si="22"/>
        <v>1.25</v>
      </c>
      <c r="P39" s="10"/>
      <c r="Q39" s="10"/>
      <c r="R39" s="10"/>
      <c r="S39" s="10"/>
      <c r="T39" s="10"/>
      <c r="U39" s="10"/>
      <c r="V39" s="10"/>
      <c r="W39" s="10"/>
      <c r="X39" s="10"/>
      <c r="Y39" s="10"/>
      <c r="Z39" s="10"/>
    </row>
    <row r="40" spans="1:26" s="9" customFormat="1" ht="15.75">
      <c r="A40" s="29" t="s">
        <v>34</v>
      </c>
      <c r="B40" s="18">
        <v>33</v>
      </c>
      <c r="C40" s="18">
        <v>23</v>
      </c>
      <c r="D40" s="18">
        <v>26</v>
      </c>
      <c r="E40" s="18">
        <v>49</v>
      </c>
      <c r="F40" s="18">
        <v>31</v>
      </c>
      <c r="G40" s="18">
        <v>46</v>
      </c>
      <c r="H40" s="18">
        <v>76</v>
      </c>
      <c r="I40" s="18">
        <v>13</v>
      </c>
      <c r="J40" s="18">
        <v>55</v>
      </c>
      <c r="K40" s="18">
        <v>0</v>
      </c>
      <c r="L40" s="18">
        <v>46</v>
      </c>
      <c r="M40" s="18">
        <v>76</v>
      </c>
      <c r="N40" s="133">
        <f t="shared" si="21"/>
        <v>474</v>
      </c>
      <c r="O40" s="19">
        <f t="shared" si="22"/>
        <v>39.5</v>
      </c>
      <c r="P40" s="10"/>
      <c r="Q40" s="10"/>
      <c r="R40" s="10"/>
      <c r="S40" s="10"/>
      <c r="T40" s="10"/>
      <c r="U40" s="10"/>
      <c r="V40" s="10"/>
      <c r="W40" s="10"/>
      <c r="X40" s="10"/>
      <c r="Y40" s="10"/>
      <c r="Z40" s="10"/>
    </row>
    <row r="41" spans="1:26" s="9" customFormat="1" ht="15.75">
      <c r="A41" s="29" t="s">
        <v>35</v>
      </c>
      <c r="B41" s="18">
        <v>69</v>
      </c>
      <c r="C41" s="18">
        <v>44</v>
      </c>
      <c r="D41" s="18">
        <v>54</v>
      </c>
      <c r="E41" s="18">
        <v>138</v>
      </c>
      <c r="F41" s="18">
        <v>146</v>
      </c>
      <c r="G41" s="18">
        <v>170</v>
      </c>
      <c r="H41" s="18">
        <v>114</v>
      </c>
      <c r="I41" s="18">
        <v>51</v>
      </c>
      <c r="J41" s="18">
        <v>66</v>
      </c>
      <c r="K41" s="18">
        <v>130</v>
      </c>
      <c r="L41" s="18">
        <v>80</v>
      </c>
      <c r="M41" s="18">
        <v>53</v>
      </c>
      <c r="N41" s="133">
        <f t="shared" si="21"/>
        <v>1115</v>
      </c>
      <c r="O41" s="19">
        <f t="shared" si="22"/>
        <v>92.916666666666671</v>
      </c>
      <c r="P41" s="8"/>
      <c r="Q41" s="8"/>
      <c r="R41" s="8"/>
      <c r="S41" s="8"/>
      <c r="T41" s="8"/>
      <c r="U41" s="8"/>
      <c r="V41" s="8"/>
      <c r="W41" s="8"/>
      <c r="X41" s="8"/>
      <c r="Y41" s="8"/>
      <c r="Z41" s="8"/>
    </row>
    <row r="42" spans="1:26" s="9" customFormat="1" ht="15.75">
      <c r="A42" s="20" t="s">
        <v>21</v>
      </c>
      <c r="B42" s="21">
        <f t="shared" ref="B42:M42" si="23">IF(SUM(B21:B41)=0,"",SUM(B21:B41))</f>
        <v>1374</v>
      </c>
      <c r="C42" s="21">
        <f t="shared" si="23"/>
        <v>1395</v>
      </c>
      <c r="D42" s="21">
        <f t="shared" si="23"/>
        <v>1352</v>
      </c>
      <c r="E42" s="21">
        <f t="shared" si="23"/>
        <v>1124</v>
      </c>
      <c r="F42" s="21">
        <f t="shared" si="23"/>
        <v>1471</v>
      </c>
      <c r="G42" s="21">
        <f t="shared" si="23"/>
        <v>1344</v>
      </c>
      <c r="H42" s="21">
        <f t="shared" si="23"/>
        <v>1413</v>
      </c>
      <c r="I42" s="21">
        <f t="shared" si="23"/>
        <v>1426</v>
      </c>
      <c r="J42" s="21">
        <f t="shared" si="23"/>
        <v>1371</v>
      </c>
      <c r="K42" s="21">
        <f t="shared" si="23"/>
        <v>1488</v>
      </c>
      <c r="L42" s="21">
        <f t="shared" si="23"/>
        <v>1540</v>
      </c>
      <c r="M42" s="21">
        <f t="shared" si="23"/>
        <v>1522</v>
      </c>
      <c r="N42" s="128">
        <f>SUM(N21:N41)</f>
        <v>16820</v>
      </c>
      <c r="O42" s="22">
        <f>SUM(O21:O41)</f>
        <v>1401.6666666666665</v>
      </c>
      <c r="P42" s="8"/>
      <c r="Q42" s="8"/>
      <c r="R42" s="8"/>
      <c r="S42" s="8"/>
      <c r="T42" s="8"/>
      <c r="U42" s="8"/>
      <c r="V42" s="8"/>
      <c r="W42" s="8"/>
      <c r="X42" s="8"/>
      <c r="Y42" s="8"/>
      <c r="Z42" s="8"/>
    </row>
    <row r="43" spans="1:26" s="9" customFormat="1">
      <c r="A43" s="30"/>
      <c r="B43" s="31"/>
      <c r="C43" s="31"/>
      <c r="D43" s="31"/>
      <c r="E43" s="32"/>
      <c r="F43" s="32"/>
      <c r="G43" s="32"/>
      <c r="H43" s="32"/>
      <c r="I43" s="32"/>
      <c r="J43" s="32"/>
      <c r="K43" s="32"/>
      <c r="L43" s="32"/>
      <c r="M43" s="32"/>
      <c r="N43" s="136"/>
      <c r="O43" s="13"/>
      <c r="P43" s="8"/>
      <c r="Q43" s="8"/>
      <c r="R43" s="8"/>
      <c r="S43" s="8"/>
      <c r="T43" s="8"/>
      <c r="U43" s="8"/>
      <c r="V43" s="8"/>
      <c r="W43" s="8"/>
      <c r="X43" s="8"/>
      <c r="Y43" s="8"/>
      <c r="Z43" s="8"/>
    </row>
    <row r="44" spans="1:26" s="9" customFormat="1" ht="15.75">
      <c r="A44" s="14" t="s">
        <v>36</v>
      </c>
      <c r="B44" s="15"/>
      <c r="C44" s="15"/>
      <c r="D44" s="510" t="s">
        <v>841</v>
      </c>
      <c r="E44" s="510" t="s">
        <v>841</v>
      </c>
      <c r="F44" s="15"/>
      <c r="G44" s="15"/>
      <c r="H44" s="15"/>
      <c r="I44" s="15"/>
      <c r="J44" s="15"/>
      <c r="K44" s="15"/>
      <c r="L44" s="15"/>
      <c r="M44" s="15"/>
      <c r="N44" s="132"/>
      <c r="O44" s="16"/>
      <c r="P44" s="8"/>
      <c r="Q44" s="8"/>
      <c r="R44" s="8"/>
      <c r="S44" s="8"/>
      <c r="T44" s="8"/>
      <c r="U44" s="8"/>
      <c r="V44" s="8"/>
      <c r="W44" s="8"/>
      <c r="X44" s="8"/>
      <c r="Y44" s="8"/>
      <c r="Z44" s="8"/>
    </row>
    <row r="45" spans="1:26" s="9" customFormat="1" ht="15.75">
      <c r="A45" s="17" t="s">
        <v>18</v>
      </c>
      <c r="B45" s="18">
        <v>758</v>
      </c>
      <c r="C45" s="18">
        <v>772</v>
      </c>
      <c r="D45" s="18">
        <v>657</v>
      </c>
      <c r="E45" s="18">
        <v>33</v>
      </c>
      <c r="F45" s="18">
        <v>785</v>
      </c>
      <c r="G45" s="18">
        <v>673</v>
      </c>
      <c r="H45" s="18">
        <v>707</v>
      </c>
      <c r="I45" s="18">
        <v>771</v>
      </c>
      <c r="J45" s="18">
        <v>670</v>
      </c>
      <c r="K45" s="18">
        <v>741</v>
      </c>
      <c r="L45" s="18">
        <v>819</v>
      </c>
      <c r="M45" s="18">
        <v>757</v>
      </c>
      <c r="N45" s="133">
        <f>SUM(B45:M45)</f>
        <v>8143</v>
      </c>
      <c r="O45" s="19">
        <f>IF(N45=0,0,AVERAGE(B45:M45))</f>
        <v>678.58333333333337</v>
      </c>
      <c r="P45" s="8"/>
      <c r="Q45" s="8"/>
      <c r="R45" s="8"/>
      <c r="S45" s="8"/>
      <c r="T45" s="8"/>
      <c r="U45" s="8"/>
      <c r="V45" s="8"/>
      <c r="W45" s="8"/>
      <c r="X45" s="8"/>
      <c r="Y45" s="8"/>
      <c r="Z45" s="8"/>
    </row>
    <row r="46" spans="1:26" s="9" customFormat="1" ht="15.75">
      <c r="A46" s="17" t="s">
        <v>19</v>
      </c>
      <c r="B46" s="18">
        <v>459</v>
      </c>
      <c r="C46" s="18">
        <v>465</v>
      </c>
      <c r="D46" s="18">
        <v>460</v>
      </c>
      <c r="E46" s="18">
        <v>874</v>
      </c>
      <c r="F46" s="18">
        <v>497</v>
      </c>
      <c r="G46" s="18">
        <v>498</v>
      </c>
      <c r="H46" s="18">
        <v>518</v>
      </c>
      <c r="I46" s="18">
        <v>470</v>
      </c>
      <c r="J46" s="18">
        <v>533</v>
      </c>
      <c r="K46" s="18">
        <v>534</v>
      </c>
      <c r="L46" s="18">
        <v>511</v>
      </c>
      <c r="M46" s="18">
        <v>537</v>
      </c>
      <c r="N46" s="133">
        <f>SUM(B46:M46)</f>
        <v>6356</v>
      </c>
      <c r="O46" s="19">
        <f>IF(N46=0,0,AVERAGE(B46:M46))</f>
        <v>529.66666666666663</v>
      </c>
      <c r="P46" s="8"/>
      <c r="Q46" s="8"/>
      <c r="R46" s="8"/>
      <c r="S46" s="8"/>
      <c r="T46" s="8"/>
      <c r="U46" s="8"/>
      <c r="V46" s="8"/>
      <c r="W46" s="8"/>
      <c r="X46" s="8"/>
      <c r="Y46" s="8"/>
      <c r="Z46" s="8"/>
    </row>
    <row r="47" spans="1:26" s="9" customFormat="1" ht="15.75">
      <c r="A47" s="17" t="s">
        <v>20</v>
      </c>
      <c r="B47" s="18">
        <v>157</v>
      </c>
      <c r="C47" s="18">
        <v>158</v>
      </c>
      <c r="D47" s="18">
        <v>235</v>
      </c>
      <c r="E47" s="18">
        <v>217</v>
      </c>
      <c r="F47" s="18">
        <v>189</v>
      </c>
      <c r="G47" s="18">
        <v>173</v>
      </c>
      <c r="H47" s="18">
        <v>188</v>
      </c>
      <c r="I47" s="18">
        <v>185</v>
      </c>
      <c r="J47" s="18">
        <v>168</v>
      </c>
      <c r="K47" s="18">
        <v>213</v>
      </c>
      <c r="L47" s="18">
        <v>210</v>
      </c>
      <c r="M47" s="18">
        <v>228</v>
      </c>
      <c r="N47" s="133">
        <f>SUM(B47:M47)</f>
        <v>2321</v>
      </c>
      <c r="O47" s="19">
        <f>IF(N47=0,0,AVERAGE(B47:M47))</f>
        <v>193.41666666666666</v>
      </c>
      <c r="P47" s="8"/>
      <c r="Q47" s="8"/>
      <c r="R47" s="8"/>
      <c r="S47" s="8"/>
      <c r="T47" s="8"/>
      <c r="U47" s="8"/>
      <c r="V47" s="8"/>
      <c r="W47" s="8"/>
      <c r="X47" s="8"/>
      <c r="Y47" s="8"/>
      <c r="Z47" s="8"/>
    </row>
    <row r="48" spans="1:26" s="9" customFormat="1" ht="15.75">
      <c r="A48" s="20" t="s">
        <v>21</v>
      </c>
      <c r="B48" s="21">
        <f t="shared" ref="B48:M48" si="24">IF(SUM(B45:B47)=0,"",SUM(B45:B47))</f>
        <v>1374</v>
      </c>
      <c r="C48" s="21">
        <f t="shared" si="24"/>
        <v>1395</v>
      </c>
      <c r="D48" s="21">
        <f t="shared" si="24"/>
        <v>1352</v>
      </c>
      <c r="E48" s="21">
        <f t="shared" si="24"/>
        <v>1124</v>
      </c>
      <c r="F48" s="21">
        <f t="shared" si="24"/>
        <v>1471</v>
      </c>
      <c r="G48" s="21">
        <f t="shared" si="24"/>
        <v>1344</v>
      </c>
      <c r="H48" s="21">
        <f t="shared" si="24"/>
        <v>1413</v>
      </c>
      <c r="I48" s="21">
        <f t="shared" si="24"/>
        <v>1426</v>
      </c>
      <c r="J48" s="21">
        <f t="shared" si="24"/>
        <v>1371</v>
      </c>
      <c r="K48" s="21">
        <f t="shared" si="24"/>
        <v>1488</v>
      </c>
      <c r="L48" s="21">
        <f t="shared" si="24"/>
        <v>1540</v>
      </c>
      <c r="M48" s="21">
        <f t="shared" si="24"/>
        <v>1522</v>
      </c>
      <c r="N48" s="128">
        <f>SUM(N45:N47)</f>
        <v>16820</v>
      </c>
      <c r="O48" s="22">
        <f>SUM(O45:O47)</f>
        <v>1401.6666666666667</v>
      </c>
      <c r="P48" s="8"/>
      <c r="Q48" s="8"/>
      <c r="R48" s="8"/>
      <c r="S48" s="8"/>
      <c r="T48" s="8"/>
      <c r="U48" s="8"/>
      <c r="V48" s="8"/>
      <c r="W48" s="8"/>
      <c r="X48" s="8"/>
      <c r="Y48" s="8"/>
      <c r="Z48" s="8"/>
    </row>
    <row r="49" spans="1:26" s="9" customFormat="1">
      <c r="A49" s="23"/>
      <c r="B49" s="24"/>
      <c r="C49" s="24"/>
      <c r="D49" s="24"/>
      <c r="E49" s="25"/>
      <c r="F49" s="25"/>
      <c r="G49" s="25"/>
      <c r="H49" s="25"/>
      <c r="I49" s="25"/>
      <c r="J49" s="25"/>
      <c r="K49" s="25"/>
      <c r="L49" s="25"/>
      <c r="M49" s="25"/>
      <c r="N49" s="134"/>
      <c r="O49" s="13"/>
      <c r="P49" s="8"/>
      <c r="Q49" s="8"/>
      <c r="R49" s="8"/>
      <c r="S49" s="8"/>
      <c r="T49" s="8"/>
      <c r="U49" s="8"/>
      <c r="V49" s="8"/>
      <c r="W49" s="8"/>
      <c r="X49" s="8"/>
      <c r="Y49" s="8"/>
      <c r="Z49" s="8"/>
    </row>
    <row r="50" spans="1:26" s="9" customFormat="1" ht="15.75">
      <c r="A50" s="14" t="s">
        <v>37</v>
      </c>
      <c r="B50" s="15"/>
      <c r="C50" s="15"/>
      <c r="D50" s="510" t="s">
        <v>841</v>
      </c>
      <c r="E50" s="510" t="s">
        <v>841</v>
      </c>
      <c r="F50" s="15"/>
      <c r="G50" s="15"/>
      <c r="H50" s="15"/>
      <c r="I50" s="15"/>
      <c r="J50" s="15"/>
      <c r="K50" s="15"/>
      <c r="L50" s="15"/>
      <c r="M50" s="15"/>
      <c r="N50" s="132"/>
      <c r="O50" s="16"/>
      <c r="P50" s="10"/>
      <c r="Q50" s="10"/>
      <c r="R50" s="10"/>
      <c r="S50" s="10"/>
      <c r="T50" s="10"/>
      <c r="U50" s="10"/>
      <c r="V50" s="10"/>
      <c r="W50" s="10"/>
      <c r="X50" s="10"/>
      <c r="Y50" s="10"/>
      <c r="Z50" s="10"/>
    </row>
    <row r="51" spans="1:26" s="9" customFormat="1" ht="15.75">
      <c r="A51" s="17" t="s">
        <v>18</v>
      </c>
      <c r="B51" s="129">
        <f t="shared" ref="B51:I51" si="25">IF(B45/B1676=0,"",(B45/B1676))</f>
        <v>24.451612903225808</v>
      </c>
      <c r="C51" s="129">
        <f t="shared" si="25"/>
        <v>27.571428571428573</v>
      </c>
      <c r="D51" s="129">
        <f t="shared" si="25"/>
        <v>21.193548387096776</v>
      </c>
      <c r="E51" s="129">
        <f t="shared" si="25"/>
        <v>1.1000000000000001</v>
      </c>
      <c r="F51" s="129">
        <f t="shared" si="25"/>
        <v>25.322580645161292</v>
      </c>
      <c r="G51" s="129">
        <f t="shared" si="25"/>
        <v>22.433333333333334</v>
      </c>
      <c r="H51" s="129">
        <f t="shared" si="25"/>
        <v>22.806451612903224</v>
      </c>
      <c r="I51" s="129">
        <f t="shared" si="25"/>
        <v>24.870967741935484</v>
      </c>
      <c r="J51" s="129">
        <f t="shared" ref="J51:K51" si="26">IF(J45/J1676=0,"",(J45/J1676))</f>
        <v>22.333333333333332</v>
      </c>
      <c r="K51" s="129">
        <f t="shared" si="26"/>
        <v>23.903225806451612</v>
      </c>
      <c r="L51" s="129">
        <f t="shared" ref="L51:M51" si="27">IF(L45/L1676=0,"",(L45/L1676))</f>
        <v>27.3</v>
      </c>
      <c r="M51" s="129">
        <f t="shared" si="27"/>
        <v>24.419354838709676</v>
      </c>
      <c r="N51" s="133">
        <f>SUM(B51:M51)</f>
        <v>267.70583717357914</v>
      </c>
      <c r="O51" s="19">
        <f>IF(N51=0,0,AVERAGE(B51:M51))</f>
        <v>22.308819764464928</v>
      </c>
      <c r="P51" s="10"/>
      <c r="Q51" s="10"/>
      <c r="R51" s="10"/>
      <c r="S51" s="10"/>
      <c r="T51" s="10"/>
      <c r="U51" s="10"/>
      <c r="V51" s="10"/>
      <c r="W51" s="10"/>
      <c r="X51" s="10"/>
      <c r="Y51" s="10"/>
      <c r="Z51" s="10"/>
    </row>
    <row r="52" spans="1:26" s="9" customFormat="1" ht="15.75">
      <c r="A52" s="17" t="s">
        <v>19</v>
      </c>
      <c r="B52" s="129">
        <f t="shared" ref="B52:I52" si="28">IF(B46/B1676=0,"",(B46/B1676))</f>
        <v>14.806451612903226</v>
      </c>
      <c r="C52" s="129">
        <f t="shared" si="28"/>
        <v>16.607142857142858</v>
      </c>
      <c r="D52" s="129">
        <f t="shared" si="28"/>
        <v>14.838709677419354</v>
      </c>
      <c r="E52" s="129">
        <f t="shared" si="28"/>
        <v>29.133333333333333</v>
      </c>
      <c r="F52" s="129">
        <f t="shared" si="28"/>
        <v>16.032258064516128</v>
      </c>
      <c r="G52" s="129">
        <f t="shared" si="28"/>
        <v>16.600000000000001</v>
      </c>
      <c r="H52" s="129">
        <f t="shared" si="28"/>
        <v>16.70967741935484</v>
      </c>
      <c r="I52" s="129">
        <f t="shared" si="28"/>
        <v>15.161290322580646</v>
      </c>
      <c r="J52" s="129">
        <f t="shared" ref="J52:K52" si="29">IF(J46/J1676=0,"",(J46/J1676))</f>
        <v>17.766666666666666</v>
      </c>
      <c r="K52" s="129">
        <f t="shared" si="29"/>
        <v>17.225806451612904</v>
      </c>
      <c r="L52" s="129">
        <f t="shared" ref="L52:M52" si="30">IF(L46/L1676=0,"",(L46/L1676))</f>
        <v>17.033333333333335</v>
      </c>
      <c r="M52" s="129">
        <f t="shared" si="30"/>
        <v>17.322580645161292</v>
      </c>
      <c r="N52" s="133">
        <f>SUM(B52:M52)</f>
        <v>209.23725038402455</v>
      </c>
      <c r="O52" s="19">
        <f>IF(N52=0,0,AVERAGE(B52:M52))</f>
        <v>17.436437532002046</v>
      </c>
      <c r="P52" s="8"/>
      <c r="Q52" s="8"/>
      <c r="R52" s="8"/>
      <c r="S52" s="8"/>
      <c r="T52" s="8"/>
      <c r="U52" s="8"/>
      <c r="V52" s="8"/>
      <c r="W52" s="8"/>
      <c r="X52" s="8"/>
      <c r="Y52" s="8"/>
      <c r="Z52" s="8"/>
    </row>
    <row r="53" spans="1:26" s="9" customFormat="1" ht="15.75">
      <c r="A53" s="17" t="s">
        <v>20</v>
      </c>
      <c r="B53" s="129">
        <f t="shared" ref="B53:I53" si="31">IF(B47/B1676=0,"",(B47/B1676))</f>
        <v>5.064516129032258</v>
      </c>
      <c r="C53" s="129">
        <f t="shared" si="31"/>
        <v>5.6428571428571432</v>
      </c>
      <c r="D53" s="129">
        <f t="shared" si="31"/>
        <v>7.580645161290323</v>
      </c>
      <c r="E53" s="129">
        <f t="shared" si="31"/>
        <v>7.2333333333333334</v>
      </c>
      <c r="F53" s="129">
        <f t="shared" si="31"/>
        <v>6.096774193548387</v>
      </c>
      <c r="G53" s="129">
        <f t="shared" si="31"/>
        <v>5.7666666666666666</v>
      </c>
      <c r="H53" s="129">
        <f t="shared" si="31"/>
        <v>6.064516129032258</v>
      </c>
      <c r="I53" s="129">
        <f t="shared" si="31"/>
        <v>5.967741935483871</v>
      </c>
      <c r="J53" s="129">
        <f t="shared" ref="J53:K53" si="32">IF(J47/J1676=0,"",(J47/J1676))</f>
        <v>5.6</v>
      </c>
      <c r="K53" s="129">
        <f t="shared" si="32"/>
        <v>6.870967741935484</v>
      </c>
      <c r="L53" s="129">
        <f t="shared" ref="L53:M53" si="33">IF(L47/L1676=0,"",(L47/L1676))</f>
        <v>7</v>
      </c>
      <c r="M53" s="129">
        <f t="shared" si="33"/>
        <v>7.354838709677419</v>
      </c>
      <c r="N53" s="133">
        <f>SUM(B53:M53)</f>
        <v>76.242857142857147</v>
      </c>
      <c r="O53" s="19">
        <f>IF(N53=0,0,AVERAGE(B53:M53))</f>
        <v>6.3535714285714286</v>
      </c>
      <c r="P53" s="8"/>
      <c r="Q53" s="8"/>
      <c r="R53" s="8"/>
      <c r="S53" s="8"/>
      <c r="T53" s="8"/>
      <c r="U53" s="8"/>
      <c r="V53" s="8"/>
      <c r="W53" s="8"/>
      <c r="X53" s="8"/>
      <c r="Y53" s="8"/>
      <c r="Z53" s="8"/>
    </row>
    <row r="54" spans="1:26" s="9" customFormat="1" ht="15.75">
      <c r="A54" s="20" t="s">
        <v>21</v>
      </c>
      <c r="B54" s="22">
        <f t="shared" ref="B54:C54" si="34">IF(SUM(B51:B53)=0,"",SUM(B51:B53))</f>
        <v>44.322580645161288</v>
      </c>
      <c r="C54" s="22">
        <f t="shared" si="34"/>
        <v>49.821428571428577</v>
      </c>
      <c r="D54" s="22">
        <f t="shared" ref="D54:E54" si="35">IF(SUM(D51:D53)=0,"",SUM(D51:D53))</f>
        <v>43.612903225806448</v>
      </c>
      <c r="E54" s="22">
        <f t="shared" si="35"/>
        <v>37.466666666666669</v>
      </c>
      <c r="F54" s="22">
        <f t="shared" ref="F54:G54" si="36">IF(SUM(F51:F53)=0,"",SUM(F51:F53))</f>
        <v>47.451612903225808</v>
      </c>
      <c r="G54" s="22">
        <f t="shared" si="36"/>
        <v>44.8</v>
      </c>
      <c r="H54" s="22">
        <f t="shared" ref="H54:I54" si="37">IF(SUM(H51:H53)=0,"",SUM(H51:H53))</f>
        <v>45.58064516129032</v>
      </c>
      <c r="I54" s="22">
        <f t="shared" si="37"/>
        <v>46</v>
      </c>
      <c r="J54" s="22">
        <f t="shared" ref="J54:K54" si="38">IF(SUM(J51:J53)=0,"",SUM(J51:J53))</f>
        <v>45.699999999999996</v>
      </c>
      <c r="K54" s="22">
        <f t="shared" si="38"/>
        <v>48</v>
      </c>
      <c r="L54" s="22">
        <f t="shared" ref="L54:M54" si="39">IF(SUM(L51:L53)=0,"",SUM(L51:L53))</f>
        <v>51.333333333333336</v>
      </c>
      <c r="M54" s="22">
        <f t="shared" si="39"/>
        <v>49.096774193548384</v>
      </c>
      <c r="N54" s="128">
        <f>SUM(N51:N53)</f>
        <v>553.18594470046082</v>
      </c>
      <c r="O54" s="22">
        <f>SUM(O51:O53)</f>
        <v>46.098828725038402</v>
      </c>
      <c r="P54" s="10"/>
      <c r="Q54" s="10"/>
      <c r="R54" s="10"/>
      <c r="S54" s="10"/>
      <c r="T54" s="10"/>
      <c r="U54" s="10"/>
      <c r="V54" s="10"/>
      <c r="W54" s="10"/>
      <c r="X54" s="10"/>
      <c r="Y54" s="10"/>
      <c r="Z54" s="10"/>
    </row>
    <row r="55" spans="1:26" s="9" customFormat="1">
      <c r="A55" s="23"/>
      <c r="B55" s="24"/>
      <c r="C55" s="24"/>
      <c r="D55" s="24"/>
      <c r="E55" s="25"/>
      <c r="F55" s="25"/>
      <c r="G55" s="25"/>
      <c r="H55" s="25"/>
      <c r="I55" s="25"/>
      <c r="J55" s="25"/>
      <c r="K55" s="25"/>
      <c r="L55" s="25"/>
      <c r="M55" s="25"/>
      <c r="N55" s="134"/>
      <c r="O55" s="13"/>
      <c r="P55" s="8"/>
      <c r="Q55" s="8"/>
      <c r="R55" s="8"/>
      <c r="S55" s="8"/>
      <c r="T55" s="8"/>
      <c r="U55" s="8"/>
      <c r="V55" s="8"/>
      <c r="W55" s="8"/>
      <c r="X55" s="8"/>
      <c r="Y55" s="8"/>
      <c r="Z55" s="8"/>
    </row>
    <row r="56" spans="1:26" s="9" customFormat="1" ht="15.75">
      <c r="A56" s="14" t="s">
        <v>42</v>
      </c>
      <c r="B56" s="27"/>
      <c r="C56" s="27"/>
      <c r="D56" s="27"/>
      <c r="E56" s="27"/>
      <c r="F56" s="27"/>
      <c r="G56" s="27"/>
      <c r="H56" s="27"/>
      <c r="I56" s="27"/>
      <c r="J56" s="27"/>
      <c r="K56" s="27"/>
      <c r="L56" s="27"/>
      <c r="M56" s="27"/>
      <c r="N56" s="135"/>
      <c r="O56" s="28"/>
      <c r="P56" s="8"/>
      <c r="Q56" s="8"/>
      <c r="R56" s="8"/>
      <c r="S56" s="8"/>
      <c r="T56" s="8"/>
      <c r="U56" s="8"/>
      <c r="V56" s="8"/>
      <c r="W56" s="8"/>
      <c r="X56" s="8"/>
      <c r="Y56" s="8"/>
      <c r="Z56" s="8"/>
    </row>
    <row r="57" spans="1:26" s="9" customFormat="1" ht="15.75">
      <c r="A57" s="29" t="s">
        <v>29</v>
      </c>
      <c r="B57" s="18">
        <v>0</v>
      </c>
      <c r="C57" s="18">
        <v>0</v>
      </c>
      <c r="D57" s="18">
        <v>1</v>
      </c>
      <c r="E57" s="18">
        <v>1</v>
      </c>
      <c r="F57" s="18">
        <v>0</v>
      </c>
      <c r="G57" s="18">
        <v>0</v>
      </c>
      <c r="H57" s="18">
        <v>0</v>
      </c>
      <c r="I57" s="18">
        <v>0</v>
      </c>
      <c r="J57" s="18">
        <v>0</v>
      </c>
      <c r="K57" s="18">
        <v>0</v>
      </c>
      <c r="L57" s="18">
        <v>2</v>
      </c>
      <c r="M57" s="18">
        <v>13</v>
      </c>
      <c r="N57" s="133">
        <f>SUM(B57:M57)</f>
        <v>17</v>
      </c>
      <c r="O57" s="19">
        <f>IF(N57=0,0,AVERAGE(B57:M57))</f>
        <v>1.4166666666666667</v>
      </c>
      <c r="P57" s="10"/>
      <c r="Q57" s="10"/>
      <c r="R57" s="10"/>
      <c r="S57" s="10"/>
      <c r="T57" s="10"/>
      <c r="U57" s="10"/>
      <c r="V57" s="10"/>
      <c r="W57" s="10"/>
      <c r="X57" s="10"/>
      <c r="Y57" s="10"/>
      <c r="Z57" s="10"/>
    </row>
    <row r="58" spans="1:26" s="9" customFormat="1" ht="15.75">
      <c r="A58" s="29" t="s">
        <v>26</v>
      </c>
      <c r="B58" s="18">
        <v>17</v>
      </c>
      <c r="C58" s="18">
        <v>12</v>
      </c>
      <c r="D58" s="18">
        <v>8</v>
      </c>
      <c r="E58" s="18">
        <v>0</v>
      </c>
      <c r="F58" s="18">
        <v>18</v>
      </c>
      <c r="G58" s="18">
        <v>24</v>
      </c>
      <c r="H58" s="18">
        <v>14</v>
      </c>
      <c r="I58" s="18">
        <v>20</v>
      </c>
      <c r="J58" s="18">
        <v>21</v>
      </c>
      <c r="K58" s="18">
        <v>17</v>
      </c>
      <c r="L58" s="18">
        <v>12</v>
      </c>
      <c r="M58" s="18">
        <v>24</v>
      </c>
      <c r="N58" s="133">
        <f t="shared" ref="N58:N63" si="40">SUM(B58:M58)</f>
        <v>187</v>
      </c>
      <c r="O58" s="19">
        <f t="shared" ref="O58:O63" si="41">IF(N58=0,0,AVERAGE(B58:M58))</f>
        <v>15.583333333333334</v>
      </c>
      <c r="P58" s="10"/>
      <c r="Q58" s="10"/>
      <c r="R58" s="10"/>
      <c r="S58" s="10"/>
      <c r="T58" s="10"/>
      <c r="U58" s="10"/>
      <c r="V58" s="10"/>
      <c r="W58" s="10"/>
      <c r="X58" s="10"/>
      <c r="Y58" s="10"/>
      <c r="Z58" s="10"/>
    </row>
    <row r="59" spans="1:26" s="9" customFormat="1" ht="15.75">
      <c r="A59" s="29" t="s">
        <v>305</v>
      </c>
      <c r="B59" s="18">
        <v>0</v>
      </c>
      <c r="C59" s="18">
        <v>2</v>
      </c>
      <c r="D59" s="18">
        <v>3</v>
      </c>
      <c r="E59" s="18">
        <v>0</v>
      </c>
      <c r="F59" s="18">
        <v>7</v>
      </c>
      <c r="G59" s="18">
        <v>10</v>
      </c>
      <c r="H59" s="18">
        <v>22</v>
      </c>
      <c r="I59" s="18">
        <v>22</v>
      </c>
      <c r="J59" s="18">
        <v>41</v>
      </c>
      <c r="K59" s="18">
        <v>46</v>
      </c>
      <c r="L59" s="18">
        <v>35</v>
      </c>
      <c r="M59" s="18">
        <v>34</v>
      </c>
      <c r="N59" s="133">
        <f t="shared" si="40"/>
        <v>222</v>
      </c>
      <c r="O59" s="19">
        <f t="shared" si="41"/>
        <v>18.5</v>
      </c>
      <c r="P59" s="8"/>
      <c r="Q59" s="8"/>
      <c r="R59" s="8"/>
      <c r="S59" s="8"/>
      <c r="T59" s="8"/>
      <c r="U59" s="8"/>
      <c r="V59" s="8"/>
      <c r="W59" s="8"/>
      <c r="X59" s="8"/>
      <c r="Y59" s="8"/>
      <c r="Z59" s="8"/>
    </row>
    <row r="60" spans="1:26" s="9" customFormat="1" ht="15.75">
      <c r="A60" s="29" t="s">
        <v>25</v>
      </c>
      <c r="B60" s="18">
        <v>126</v>
      </c>
      <c r="C60" s="18">
        <v>123</v>
      </c>
      <c r="D60" s="18">
        <v>46</v>
      </c>
      <c r="E60" s="18">
        <v>41</v>
      </c>
      <c r="F60" s="18">
        <v>123</v>
      </c>
      <c r="G60" s="18">
        <v>107</v>
      </c>
      <c r="H60" s="18">
        <v>92</v>
      </c>
      <c r="I60" s="18">
        <v>117</v>
      </c>
      <c r="J60" s="18">
        <v>85</v>
      </c>
      <c r="K60" s="18">
        <v>71</v>
      </c>
      <c r="L60" s="18">
        <v>63</v>
      </c>
      <c r="M60" s="18">
        <v>75</v>
      </c>
      <c r="N60" s="133">
        <f t="shared" si="40"/>
        <v>1069</v>
      </c>
      <c r="O60" s="19">
        <f t="shared" si="41"/>
        <v>89.083333333333329</v>
      </c>
      <c r="P60" s="8"/>
      <c r="Q60" s="8"/>
      <c r="R60" s="8"/>
      <c r="S60" s="8"/>
      <c r="T60" s="8"/>
      <c r="U60" s="8"/>
      <c r="V60" s="8"/>
      <c r="W60" s="8"/>
      <c r="X60" s="8"/>
      <c r="Y60" s="8"/>
      <c r="Z60" s="8"/>
    </row>
    <row r="61" spans="1:26" s="9" customFormat="1" ht="15.75">
      <c r="A61" s="29" t="s">
        <v>27</v>
      </c>
      <c r="B61" s="18">
        <v>0</v>
      </c>
      <c r="C61" s="18">
        <v>0</v>
      </c>
      <c r="D61" s="18">
        <v>0</v>
      </c>
      <c r="E61" s="18">
        <v>0</v>
      </c>
      <c r="F61" s="18">
        <v>4</v>
      </c>
      <c r="G61" s="18">
        <v>10</v>
      </c>
      <c r="H61" s="18">
        <v>13</v>
      </c>
      <c r="I61" s="18">
        <v>6</v>
      </c>
      <c r="J61" s="18">
        <v>11</v>
      </c>
      <c r="K61" s="18">
        <v>4</v>
      </c>
      <c r="L61" s="18">
        <v>9</v>
      </c>
      <c r="M61" s="18">
        <v>7</v>
      </c>
      <c r="N61" s="133">
        <f t="shared" si="40"/>
        <v>64</v>
      </c>
      <c r="O61" s="19">
        <f t="shared" si="41"/>
        <v>5.333333333333333</v>
      </c>
      <c r="P61" s="8"/>
      <c r="Q61" s="8"/>
      <c r="R61" s="8"/>
      <c r="S61" s="8"/>
      <c r="T61" s="8"/>
      <c r="U61" s="8"/>
      <c r="V61" s="8"/>
      <c r="W61" s="8"/>
      <c r="X61" s="8"/>
      <c r="Y61" s="8"/>
      <c r="Z61" s="8"/>
    </row>
    <row r="62" spans="1:26" s="9" customFormat="1" ht="15.75">
      <c r="A62" s="29" t="s">
        <v>101</v>
      </c>
      <c r="B62" s="18">
        <v>0</v>
      </c>
      <c r="C62" s="18">
        <v>0</v>
      </c>
      <c r="D62" s="18">
        <v>0</v>
      </c>
      <c r="E62" s="18">
        <v>0</v>
      </c>
      <c r="F62" s="18">
        <v>1</v>
      </c>
      <c r="G62" s="18">
        <v>0</v>
      </c>
      <c r="H62" s="18">
        <v>0</v>
      </c>
      <c r="I62" s="18">
        <v>0</v>
      </c>
      <c r="J62" s="18">
        <v>0</v>
      </c>
      <c r="K62" s="18">
        <v>0</v>
      </c>
      <c r="L62" s="18">
        <v>0</v>
      </c>
      <c r="M62" s="18">
        <v>0</v>
      </c>
      <c r="N62" s="133">
        <f t="shared" si="40"/>
        <v>1</v>
      </c>
      <c r="O62" s="19">
        <f t="shared" si="41"/>
        <v>8.3333333333333329E-2</v>
      </c>
      <c r="P62" s="8"/>
      <c r="Q62" s="8"/>
      <c r="R62" s="8"/>
      <c r="S62" s="8"/>
      <c r="T62" s="8"/>
      <c r="U62" s="8"/>
      <c r="V62" s="8"/>
      <c r="W62" s="8"/>
      <c r="X62" s="8"/>
      <c r="Y62" s="8"/>
      <c r="Z62" s="8"/>
    </row>
    <row r="63" spans="1:26" s="9" customFormat="1" ht="15.75">
      <c r="A63" s="29" t="s">
        <v>19</v>
      </c>
      <c r="B63" s="18">
        <v>4</v>
      </c>
      <c r="C63" s="18">
        <v>10</v>
      </c>
      <c r="D63" s="18">
        <v>44</v>
      </c>
      <c r="E63" s="18">
        <v>25</v>
      </c>
      <c r="F63" s="18">
        <v>17</v>
      </c>
      <c r="G63" s="18">
        <v>11</v>
      </c>
      <c r="H63" s="18">
        <v>16</v>
      </c>
      <c r="I63" s="18">
        <v>16</v>
      </c>
      <c r="J63" s="18">
        <v>19</v>
      </c>
      <c r="K63" s="18">
        <v>24</v>
      </c>
      <c r="L63" s="18">
        <v>16</v>
      </c>
      <c r="M63" s="18">
        <v>21</v>
      </c>
      <c r="N63" s="133">
        <f t="shared" si="40"/>
        <v>223</v>
      </c>
      <c r="O63" s="19">
        <f t="shared" si="41"/>
        <v>18.583333333333332</v>
      </c>
      <c r="P63" s="8"/>
      <c r="Q63" s="8"/>
      <c r="R63" s="8"/>
      <c r="S63" s="8"/>
      <c r="T63" s="8"/>
      <c r="U63" s="8"/>
      <c r="V63" s="8"/>
      <c r="W63" s="8"/>
      <c r="X63" s="8"/>
      <c r="Y63" s="8"/>
      <c r="Z63" s="8"/>
    </row>
    <row r="64" spans="1:26" s="9" customFormat="1" ht="15.75">
      <c r="A64" s="29" t="s">
        <v>28</v>
      </c>
      <c r="B64" s="18">
        <v>29</v>
      </c>
      <c r="C64" s="18">
        <v>36</v>
      </c>
      <c r="D64" s="18">
        <v>10</v>
      </c>
      <c r="E64" s="18">
        <v>3</v>
      </c>
      <c r="F64" s="18">
        <v>33</v>
      </c>
      <c r="G64" s="18">
        <v>27</v>
      </c>
      <c r="H64" s="18">
        <v>39</v>
      </c>
      <c r="I64" s="18">
        <v>35</v>
      </c>
      <c r="J64" s="18">
        <v>12</v>
      </c>
      <c r="K64" s="18">
        <v>30</v>
      </c>
      <c r="L64" s="18">
        <v>48</v>
      </c>
      <c r="M64" s="18">
        <v>18</v>
      </c>
      <c r="N64" s="133">
        <f t="shared" ref="N64:N77" si="42">SUM(B64:M64)</f>
        <v>320</v>
      </c>
      <c r="O64" s="19">
        <f t="shared" ref="O64:O77" si="43">IF(N64=0,0,AVERAGE(B64:M64))</f>
        <v>26.666666666666668</v>
      </c>
      <c r="P64" s="8"/>
      <c r="Q64" s="8"/>
      <c r="R64" s="8"/>
      <c r="S64" s="8"/>
      <c r="T64" s="8"/>
      <c r="U64" s="8"/>
      <c r="V64" s="8"/>
      <c r="W64" s="8"/>
      <c r="X64" s="8"/>
      <c r="Y64" s="8"/>
      <c r="Z64" s="8"/>
    </row>
    <row r="65" spans="1:26" s="9" customFormat="1" ht="15.75">
      <c r="A65" s="29" t="s">
        <v>124</v>
      </c>
      <c r="B65" s="18">
        <v>0</v>
      </c>
      <c r="C65" s="18">
        <v>0</v>
      </c>
      <c r="D65" s="18">
        <v>0</v>
      </c>
      <c r="E65" s="18">
        <v>0</v>
      </c>
      <c r="F65" s="18">
        <v>0</v>
      </c>
      <c r="G65" s="18">
        <v>0</v>
      </c>
      <c r="H65" s="18">
        <v>0</v>
      </c>
      <c r="I65" s="18">
        <v>0</v>
      </c>
      <c r="J65" s="18">
        <v>0</v>
      </c>
      <c r="K65" s="18">
        <v>0</v>
      </c>
      <c r="L65" s="18">
        <v>0</v>
      </c>
      <c r="M65" s="18">
        <v>0</v>
      </c>
      <c r="N65" s="133">
        <f t="shared" si="42"/>
        <v>0</v>
      </c>
      <c r="O65" s="19">
        <f t="shared" si="43"/>
        <v>0</v>
      </c>
      <c r="P65" s="8"/>
      <c r="Q65" s="8"/>
      <c r="R65" s="8"/>
      <c r="S65" s="8"/>
      <c r="T65" s="8"/>
      <c r="U65" s="8"/>
      <c r="V65" s="8"/>
      <c r="W65" s="8"/>
      <c r="X65" s="8"/>
      <c r="Y65" s="8"/>
      <c r="Z65" s="8"/>
    </row>
    <row r="66" spans="1:26" s="9" customFormat="1" ht="15.75">
      <c r="A66" s="29" t="s">
        <v>31</v>
      </c>
      <c r="B66" s="18">
        <v>1</v>
      </c>
      <c r="C66" s="18">
        <v>0</v>
      </c>
      <c r="D66" s="18">
        <v>1</v>
      </c>
      <c r="E66" s="18">
        <v>2</v>
      </c>
      <c r="F66" s="18">
        <v>2</v>
      </c>
      <c r="G66" s="18">
        <v>1</v>
      </c>
      <c r="H66" s="18">
        <v>6</v>
      </c>
      <c r="I66" s="18">
        <v>2</v>
      </c>
      <c r="J66" s="18">
        <f>2+1</f>
        <v>3</v>
      </c>
      <c r="K66" s="18">
        <v>1</v>
      </c>
      <c r="L66" s="18">
        <v>1</v>
      </c>
      <c r="M66" s="18">
        <v>1</v>
      </c>
      <c r="N66" s="133">
        <f t="shared" si="42"/>
        <v>21</v>
      </c>
      <c r="O66" s="19">
        <f t="shared" si="43"/>
        <v>1.75</v>
      </c>
      <c r="P66" s="8"/>
      <c r="Q66" s="8"/>
      <c r="R66" s="8"/>
      <c r="S66" s="8"/>
      <c r="T66" s="8"/>
      <c r="U66" s="8"/>
      <c r="V66" s="8"/>
      <c r="W66" s="8"/>
      <c r="X66" s="8"/>
      <c r="Y66" s="8"/>
      <c r="Z66" s="8"/>
    </row>
    <row r="67" spans="1:26" s="9" customFormat="1" ht="15.75">
      <c r="A67" s="29" t="s">
        <v>30</v>
      </c>
      <c r="B67" s="18">
        <v>1</v>
      </c>
      <c r="C67" s="18">
        <v>4</v>
      </c>
      <c r="D67" s="18">
        <v>1</v>
      </c>
      <c r="E67" s="18">
        <v>2</v>
      </c>
      <c r="F67" s="18">
        <v>3</v>
      </c>
      <c r="G67" s="18">
        <v>0</v>
      </c>
      <c r="H67" s="18">
        <v>1</v>
      </c>
      <c r="I67" s="18">
        <v>0</v>
      </c>
      <c r="J67" s="18">
        <v>0</v>
      </c>
      <c r="K67" s="18">
        <v>0</v>
      </c>
      <c r="L67" s="18">
        <v>0</v>
      </c>
      <c r="M67" s="18">
        <v>0</v>
      </c>
      <c r="N67" s="133">
        <f t="shared" si="42"/>
        <v>12</v>
      </c>
      <c r="O67" s="19">
        <f t="shared" si="43"/>
        <v>1</v>
      </c>
      <c r="P67" s="8"/>
      <c r="Q67" s="8"/>
      <c r="R67" s="8"/>
      <c r="S67" s="8"/>
      <c r="T67" s="8"/>
      <c r="U67" s="8"/>
      <c r="V67" s="8"/>
      <c r="W67" s="8"/>
      <c r="X67" s="8"/>
      <c r="Y67" s="8"/>
      <c r="Z67" s="8"/>
    </row>
    <row r="68" spans="1:26" s="9" customFormat="1" ht="15.75">
      <c r="A68" s="29" t="s">
        <v>319</v>
      </c>
      <c r="B68" s="18">
        <v>0</v>
      </c>
      <c r="C68" s="18">
        <v>0</v>
      </c>
      <c r="D68" s="18">
        <v>0</v>
      </c>
      <c r="E68" s="18">
        <v>0</v>
      </c>
      <c r="F68" s="18">
        <v>0</v>
      </c>
      <c r="G68" s="18">
        <v>0</v>
      </c>
      <c r="H68" s="18">
        <v>0</v>
      </c>
      <c r="I68" s="18">
        <v>0</v>
      </c>
      <c r="J68" s="18">
        <v>0</v>
      </c>
      <c r="K68" s="18">
        <v>0</v>
      </c>
      <c r="L68" s="18">
        <v>0</v>
      </c>
      <c r="M68" s="18">
        <v>0</v>
      </c>
      <c r="N68" s="133">
        <f t="shared" si="42"/>
        <v>0</v>
      </c>
      <c r="O68" s="19">
        <f t="shared" si="43"/>
        <v>0</v>
      </c>
      <c r="P68" s="8"/>
      <c r="Q68" s="8"/>
      <c r="R68" s="8"/>
      <c r="S68" s="8"/>
      <c r="T68" s="8"/>
      <c r="U68" s="8"/>
      <c r="V68" s="8"/>
      <c r="W68" s="8"/>
      <c r="X68" s="8"/>
      <c r="Y68" s="8"/>
      <c r="Z68" s="8"/>
    </row>
    <row r="69" spans="1:26" s="9" customFormat="1" ht="15.75">
      <c r="A69" s="29" t="s">
        <v>125</v>
      </c>
      <c r="B69" s="18">
        <v>0</v>
      </c>
      <c r="C69" s="18">
        <v>1</v>
      </c>
      <c r="D69" s="18">
        <v>0</v>
      </c>
      <c r="E69" s="18">
        <v>1</v>
      </c>
      <c r="F69" s="18">
        <v>1</v>
      </c>
      <c r="G69" s="18">
        <v>0</v>
      </c>
      <c r="H69" s="18">
        <v>1</v>
      </c>
      <c r="I69" s="18">
        <v>0</v>
      </c>
      <c r="J69" s="18">
        <v>0</v>
      </c>
      <c r="K69" s="18">
        <v>0</v>
      </c>
      <c r="L69" s="18">
        <v>0</v>
      </c>
      <c r="M69" s="18">
        <v>0</v>
      </c>
      <c r="N69" s="133">
        <f t="shared" si="42"/>
        <v>4</v>
      </c>
      <c r="O69" s="19">
        <f t="shared" si="43"/>
        <v>0.33333333333333331</v>
      </c>
      <c r="P69" s="8"/>
      <c r="Q69" s="8"/>
      <c r="R69" s="8"/>
      <c r="S69" s="8"/>
      <c r="T69" s="8"/>
      <c r="U69" s="8"/>
      <c r="V69" s="8"/>
      <c r="W69" s="8"/>
      <c r="X69" s="8"/>
      <c r="Y69" s="8"/>
      <c r="Z69" s="8"/>
    </row>
    <row r="70" spans="1:26" s="9" customFormat="1" ht="15.75">
      <c r="A70" s="29" t="s">
        <v>720</v>
      </c>
      <c r="B70" s="18">
        <v>0</v>
      </c>
      <c r="C70" s="18">
        <v>0</v>
      </c>
      <c r="D70" s="18">
        <v>0</v>
      </c>
      <c r="E70" s="18">
        <v>0</v>
      </c>
      <c r="F70" s="18">
        <v>1</v>
      </c>
      <c r="G70" s="18">
        <v>0</v>
      </c>
      <c r="H70" s="18">
        <v>1</v>
      </c>
      <c r="I70" s="18">
        <v>2</v>
      </c>
      <c r="J70" s="18">
        <v>2</v>
      </c>
      <c r="K70" s="18">
        <v>1</v>
      </c>
      <c r="L70" s="18">
        <v>2</v>
      </c>
      <c r="M70" s="18">
        <v>1</v>
      </c>
      <c r="N70" s="133">
        <f t="shared" si="42"/>
        <v>10</v>
      </c>
      <c r="O70" s="19">
        <f t="shared" si="43"/>
        <v>0.83333333333333337</v>
      </c>
      <c r="P70" s="8"/>
      <c r="Q70" s="8"/>
      <c r="R70" s="8"/>
      <c r="S70" s="8"/>
      <c r="T70" s="8"/>
      <c r="U70" s="8"/>
      <c r="V70" s="8"/>
      <c r="W70" s="8"/>
      <c r="X70" s="8"/>
      <c r="Y70" s="8"/>
      <c r="Z70" s="8"/>
    </row>
    <row r="71" spans="1:26" s="9" customFormat="1" ht="15.75">
      <c r="A71" s="29" t="s">
        <v>32</v>
      </c>
      <c r="B71" s="18">
        <v>9</v>
      </c>
      <c r="C71" s="18">
        <v>9</v>
      </c>
      <c r="D71" s="18">
        <v>6</v>
      </c>
      <c r="E71" s="18">
        <v>2</v>
      </c>
      <c r="F71" s="18">
        <v>5</v>
      </c>
      <c r="G71" s="18">
        <v>8</v>
      </c>
      <c r="H71" s="18">
        <v>16</v>
      </c>
      <c r="I71" s="18">
        <v>10</v>
      </c>
      <c r="J71" s="18">
        <v>4</v>
      </c>
      <c r="K71" s="18">
        <v>10</v>
      </c>
      <c r="L71" s="18">
        <v>11</v>
      </c>
      <c r="M71" s="18">
        <v>10</v>
      </c>
      <c r="N71" s="133">
        <f t="shared" si="42"/>
        <v>100</v>
      </c>
      <c r="O71" s="19">
        <f t="shared" si="43"/>
        <v>8.3333333333333339</v>
      </c>
      <c r="P71" s="8"/>
      <c r="Q71" s="8"/>
      <c r="R71" s="8"/>
      <c r="S71" s="8"/>
      <c r="T71" s="8"/>
      <c r="U71" s="8"/>
      <c r="V71" s="8"/>
      <c r="W71" s="8"/>
      <c r="X71" s="8"/>
      <c r="Y71" s="8"/>
      <c r="Z71" s="8"/>
    </row>
    <row r="72" spans="1:26" s="9" customFormat="1" ht="15.75">
      <c r="A72" s="29" t="s">
        <v>881</v>
      </c>
      <c r="B72" s="18">
        <v>0</v>
      </c>
      <c r="C72" s="18">
        <v>0</v>
      </c>
      <c r="D72" s="18">
        <v>0</v>
      </c>
      <c r="E72" s="18">
        <v>0</v>
      </c>
      <c r="F72" s="18">
        <v>0</v>
      </c>
      <c r="G72" s="18">
        <v>0</v>
      </c>
      <c r="H72" s="18">
        <v>0</v>
      </c>
      <c r="I72" s="18">
        <v>0</v>
      </c>
      <c r="J72" s="18">
        <v>0</v>
      </c>
      <c r="K72" s="18">
        <v>0</v>
      </c>
      <c r="L72" s="18">
        <v>1</v>
      </c>
      <c r="M72" s="18">
        <v>1</v>
      </c>
      <c r="N72" s="133">
        <f t="shared" si="42"/>
        <v>2</v>
      </c>
      <c r="O72" s="19">
        <f t="shared" si="43"/>
        <v>0.16666666666666666</v>
      </c>
      <c r="P72" s="8"/>
      <c r="Q72" s="8"/>
      <c r="R72" s="8"/>
      <c r="S72" s="8"/>
      <c r="T72" s="8"/>
      <c r="U72" s="8"/>
      <c r="V72" s="8"/>
      <c r="W72" s="8"/>
      <c r="X72" s="8"/>
      <c r="Y72" s="8"/>
      <c r="Z72" s="8"/>
    </row>
    <row r="73" spans="1:26" s="9" customFormat="1" ht="15.75">
      <c r="A73" s="29" t="s">
        <v>722</v>
      </c>
      <c r="B73" s="18">
        <v>2</v>
      </c>
      <c r="C73" s="18">
        <v>11</v>
      </c>
      <c r="D73" s="18">
        <v>51</v>
      </c>
      <c r="E73" s="18">
        <v>17</v>
      </c>
      <c r="F73" s="18">
        <v>1</v>
      </c>
      <c r="G73" s="18">
        <v>0</v>
      </c>
      <c r="H73" s="18">
        <v>0</v>
      </c>
      <c r="I73" s="18">
        <v>0</v>
      </c>
      <c r="J73" s="18">
        <v>0</v>
      </c>
      <c r="K73" s="18">
        <v>1</v>
      </c>
      <c r="L73" s="18">
        <v>0</v>
      </c>
      <c r="M73" s="18">
        <v>0</v>
      </c>
      <c r="N73" s="133">
        <f t="shared" si="42"/>
        <v>83</v>
      </c>
      <c r="O73" s="19">
        <f t="shared" si="43"/>
        <v>6.916666666666667</v>
      </c>
      <c r="P73" s="8"/>
      <c r="Q73" s="8"/>
      <c r="R73" s="8"/>
      <c r="S73" s="8"/>
      <c r="T73" s="8"/>
      <c r="U73" s="8"/>
      <c r="V73" s="8"/>
      <c r="W73" s="8"/>
      <c r="X73" s="8"/>
      <c r="Y73" s="8"/>
      <c r="Z73" s="8"/>
    </row>
    <row r="74" spans="1:26" s="9" customFormat="1" ht="15.75">
      <c r="A74" s="29" t="s">
        <v>723</v>
      </c>
      <c r="B74" s="18">
        <v>3</v>
      </c>
      <c r="C74" s="18">
        <v>5</v>
      </c>
      <c r="D74" s="18">
        <v>1</v>
      </c>
      <c r="E74" s="18">
        <v>0</v>
      </c>
      <c r="F74" s="18">
        <v>0</v>
      </c>
      <c r="G74" s="18">
        <v>1</v>
      </c>
      <c r="H74" s="18">
        <v>8</v>
      </c>
      <c r="I74" s="18">
        <v>8</v>
      </c>
      <c r="J74" s="18">
        <v>14</v>
      </c>
      <c r="K74" s="18">
        <v>21</v>
      </c>
      <c r="L74" s="18">
        <v>16</v>
      </c>
      <c r="M74" s="18">
        <v>22</v>
      </c>
      <c r="N74" s="133">
        <f t="shared" si="42"/>
        <v>99</v>
      </c>
      <c r="O74" s="19">
        <f t="shared" si="43"/>
        <v>8.25</v>
      </c>
      <c r="P74" s="8"/>
      <c r="Q74" s="8"/>
      <c r="R74" s="8"/>
      <c r="S74" s="8"/>
      <c r="T74" s="8"/>
      <c r="U74" s="8"/>
      <c r="V74" s="8"/>
      <c r="W74" s="8"/>
      <c r="X74" s="8"/>
      <c r="Y74" s="8"/>
      <c r="Z74" s="8"/>
    </row>
    <row r="75" spans="1:26" s="9" customFormat="1" ht="15.75">
      <c r="A75" s="29" t="s">
        <v>33</v>
      </c>
      <c r="B75" s="18">
        <v>0</v>
      </c>
      <c r="C75" s="18">
        <v>0</v>
      </c>
      <c r="D75" s="18">
        <v>0</v>
      </c>
      <c r="E75" s="18">
        <v>0</v>
      </c>
      <c r="F75" s="18">
        <v>0</v>
      </c>
      <c r="G75" s="18">
        <v>0</v>
      </c>
      <c r="H75" s="18">
        <v>0</v>
      </c>
      <c r="I75" s="18">
        <v>1</v>
      </c>
      <c r="J75" s="18">
        <v>0</v>
      </c>
      <c r="K75" s="18">
        <v>0</v>
      </c>
      <c r="L75" s="18">
        <v>0</v>
      </c>
      <c r="M75" s="18">
        <v>0</v>
      </c>
      <c r="N75" s="133">
        <f t="shared" si="42"/>
        <v>1</v>
      </c>
      <c r="O75" s="19">
        <f t="shared" si="43"/>
        <v>8.3333333333333329E-2</v>
      </c>
      <c r="P75" s="8"/>
      <c r="Q75" s="8"/>
      <c r="R75" s="8"/>
      <c r="S75" s="8"/>
      <c r="T75" s="8"/>
      <c r="U75" s="8"/>
      <c r="V75" s="8"/>
      <c r="W75" s="8"/>
      <c r="X75" s="8"/>
      <c r="Y75" s="8"/>
      <c r="Z75" s="8"/>
    </row>
    <row r="76" spans="1:26" s="9" customFormat="1" ht="15.75">
      <c r="A76" s="29" t="s">
        <v>34</v>
      </c>
      <c r="B76" s="18">
        <v>1</v>
      </c>
      <c r="C76" s="18">
        <v>0</v>
      </c>
      <c r="D76" s="18">
        <v>2</v>
      </c>
      <c r="E76" s="18">
        <v>4</v>
      </c>
      <c r="F76" s="18">
        <v>0</v>
      </c>
      <c r="G76" s="18">
        <v>5</v>
      </c>
      <c r="H76" s="18">
        <v>5</v>
      </c>
      <c r="I76" s="18">
        <v>2</v>
      </c>
      <c r="J76" s="18">
        <v>5</v>
      </c>
      <c r="K76" s="18">
        <v>0</v>
      </c>
      <c r="L76" s="18">
        <v>2</v>
      </c>
      <c r="M76" s="18">
        <v>3</v>
      </c>
      <c r="N76" s="133">
        <f t="shared" si="42"/>
        <v>29</v>
      </c>
      <c r="O76" s="19">
        <f t="shared" si="43"/>
        <v>2.4166666666666665</v>
      </c>
      <c r="P76" s="8"/>
      <c r="Q76" s="8"/>
      <c r="R76" s="8"/>
      <c r="S76" s="8"/>
      <c r="T76" s="8"/>
      <c r="U76" s="8"/>
      <c r="V76" s="8"/>
      <c r="W76" s="8"/>
      <c r="X76" s="8"/>
      <c r="Y76" s="8"/>
      <c r="Z76" s="8"/>
    </row>
    <row r="77" spans="1:26" s="9" customFormat="1" ht="15.75">
      <c r="A77" s="29" t="s">
        <v>35</v>
      </c>
      <c r="B77" s="18">
        <v>5</v>
      </c>
      <c r="C77" s="18">
        <v>2</v>
      </c>
      <c r="D77" s="18">
        <v>5</v>
      </c>
      <c r="E77" s="18">
        <v>12</v>
      </c>
      <c r="F77" s="18">
        <v>10</v>
      </c>
      <c r="G77" s="18">
        <v>10</v>
      </c>
      <c r="H77" s="18">
        <v>7</v>
      </c>
      <c r="I77" s="18">
        <v>2</v>
      </c>
      <c r="J77" s="18">
        <v>8</v>
      </c>
      <c r="K77" s="18">
        <v>6</v>
      </c>
      <c r="L77" s="18">
        <v>6</v>
      </c>
      <c r="M77" s="18">
        <v>5</v>
      </c>
      <c r="N77" s="133">
        <f t="shared" si="42"/>
        <v>78</v>
      </c>
      <c r="O77" s="19">
        <f t="shared" si="43"/>
        <v>6.5</v>
      </c>
      <c r="P77" s="8"/>
      <c r="Q77" s="8"/>
      <c r="R77" s="8"/>
      <c r="S77" s="8"/>
      <c r="T77" s="8"/>
      <c r="U77" s="8"/>
      <c r="V77" s="8"/>
      <c r="W77" s="8"/>
      <c r="X77" s="8"/>
      <c r="Y77" s="8"/>
      <c r="Z77" s="8"/>
    </row>
    <row r="78" spans="1:26" s="9" customFormat="1" ht="15.75">
      <c r="A78" s="20" t="s">
        <v>21</v>
      </c>
      <c r="B78" s="21">
        <f t="shared" ref="B78:M78" si="44">IF(SUM(B57:B77)=0,"",SUM(B57:B77))</f>
        <v>198</v>
      </c>
      <c r="C78" s="21">
        <f t="shared" si="44"/>
        <v>215</v>
      </c>
      <c r="D78" s="21">
        <f t="shared" si="44"/>
        <v>179</v>
      </c>
      <c r="E78" s="21">
        <f t="shared" si="44"/>
        <v>110</v>
      </c>
      <c r="F78" s="21">
        <f t="shared" si="44"/>
        <v>226</v>
      </c>
      <c r="G78" s="21">
        <f t="shared" si="44"/>
        <v>214</v>
      </c>
      <c r="H78" s="21">
        <f t="shared" si="44"/>
        <v>241</v>
      </c>
      <c r="I78" s="21">
        <f t="shared" si="44"/>
        <v>243</v>
      </c>
      <c r="J78" s="21">
        <f t="shared" si="44"/>
        <v>225</v>
      </c>
      <c r="K78" s="21">
        <f t="shared" si="44"/>
        <v>232</v>
      </c>
      <c r="L78" s="21">
        <f t="shared" si="44"/>
        <v>224</v>
      </c>
      <c r="M78" s="21">
        <f t="shared" si="44"/>
        <v>235</v>
      </c>
      <c r="N78" s="128">
        <f>SUM(N57:N77)</f>
        <v>2542</v>
      </c>
      <c r="O78" s="22">
        <f>SUM(O57:O77)</f>
        <v>211.83333333333334</v>
      </c>
      <c r="P78" s="8"/>
      <c r="Q78" s="8"/>
      <c r="R78" s="8"/>
      <c r="S78" s="8"/>
      <c r="T78" s="8"/>
      <c r="U78" s="8"/>
      <c r="V78" s="8"/>
      <c r="W78" s="8"/>
      <c r="X78" s="8"/>
      <c r="Y78" s="8"/>
      <c r="Z78" s="8"/>
    </row>
    <row r="79" spans="1:26" s="9" customFormat="1">
      <c r="A79" s="30"/>
      <c r="B79" s="31"/>
      <c r="C79" s="31"/>
      <c r="D79" s="31"/>
      <c r="E79" s="32"/>
      <c r="F79" s="32"/>
      <c r="G79" s="32"/>
      <c r="H79" s="32"/>
      <c r="I79" s="32"/>
      <c r="J79" s="32"/>
      <c r="K79" s="32"/>
      <c r="L79" s="32"/>
      <c r="M79" s="32"/>
      <c r="N79" s="136"/>
      <c r="O79" s="13"/>
      <c r="P79" s="8"/>
      <c r="Q79" s="8"/>
      <c r="R79" s="8"/>
      <c r="S79" s="8"/>
      <c r="T79" s="8"/>
      <c r="U79" s="8"/>
      <c r="V79" s="8"/>
      <c r="W79" s="8"/>
      <c r="X79" s="8"/>
      <c r="Y79" s="8"/>
      <c r="Z79" s="8"/>
    </row>
    <row r="80" spans="1:26" s="9" customFormat="1" ht="15.75">
      <c r="A80" s="161" t="s">
        <v>45</v>
      </c>
      <c r="B80" s="278"/>
      <c r="C80" s="278"/>
      <c r="D80" s="278"/>
      <c r="E80" s="278"/>
      <c r="F80" s="278"/>
      <c r="G80" s="278"/>
      <c r="H80" s="278"/>
      <c r="I80" s="278"/>
      <c r="J80" s="162"/>
      <c r="K80" s="162"/>
      <c r="L80" s="162"/>
      <c r="M80" s="162"/>
      <c r="N80" s="163"/>
      <c r="O80" s="164"/>
      <c r="P80" s="8"/>
      <c r="Q80" s="8"/>
      <c r="R80" s="8"/>
      <c r="S80" s="8"/>
      <c r="T80" s="8"/>
      <c r="U80" s="8"/>
      <c r="V80" s="8"/>
      <c r="W80" s="8"/>
      <c r="X80" s="8"/>
      <c r="Y80" s="8"/>
      <c r="Z80" s="8"/>
    </row>
    <row r="81" spans="1:26" s="9" customFormat="1" ht="15.75">
      <c r="A81" s="277" t="s">
        <v>18</v>
      </c>
      <c r="B81" s="36">
        <v>178</v>
      </c>
      <c r="C81" s="36">
        <v>189</v>
      </c>
      <c r="D81" s="36">
        <v>154</v>
      </c>
      <c r="E81" s="36">
        <v>1</v>
      </c>
      <c r="F81" s="36">
        <v>193</v>
      </c>
      <c r="G81" s="36">
        <v>181</v>
      </c>
      <c r="H81" s="36">
        <v>190</v>
      </c>
      <c r="I81" s="36">
        <v>214</v>
      </c>
      <c r="J81" s="36">
        <v>185</v>
      </c>
      <c r="K81" s="36">
        <v>194</v>
      </c>
      <c r="L81" s="36">
        <v>186</v>
      </c>
      <c r="M81" s="36">
        <v>185</v>
      </c>
      <c r="N81" s="154">
        <f>SUM(B81:M81)</f>
        <v>2050</v>
      </c>
      <c r="O81" s="111">
        <f>IF(N81=0,0,AVERAGE(B81:M81))</f>
        <v>170.83333333333334</v>
      </c>
      <c r="P81" s="8"/>
      <c r="Q81" s="8"/>
      <c r="R81" s="8"/>
      <c r="S81" s="8"/>
      <c r="T81" s="8"/>
      <c r="U81" s="8"/>
      <c r="V81" s="8"/>
      <c r="W81" s="8"/>
      <c r="X81" s="8"/>
      <c r="Y81" s="8"/>
      <c r="Z81" s="8"/>
    </row>
    <row r="82" spans="1:26" s="9" customFormat="1" ht="15.75">
      <c r="A82" s="17" t="s">
        <v>19</v>
      </c>
      <c r="B82" s="18">
        <v>11</v>
      </c>
      <c r="C82" s="18">
        <v>16</v>
      </c>
      <c r="D82" s="18">
        <v>19</v>
      </c>
      <c r="E82" s="18">
        <v>106</v>
      </c>
      <c r="F82" s="18">
        <v>27</v>
      </c>
      <c r="G82" s="18">
        <v>24</v>
      </c>
      <c r="H82" s="18">
        <v>34</v>
      </c>
      <c r="I82" s="18">
        <v>17</v>
      </c>
      <c r="J82" s="18">
        <v>34</v>
      </c>
      <c r="K82" s="18">
        <v>29</v>
      </c>
      <c r="L82" s="18">
        <v>27</v>
      </c>
      <c r="M82" s="18">
        <v>36</v>
      </c>
      <c r="N82" s="133">
        <f>SUM(B82:M82)</f>
        <v>380</v>
      </c>
      <c r="O82" s="19">
        <f>IF(N82=0,0,AVERAGE(B82:M82))</f>
        <v>31.666666666666668</v>
      </c>
      <c r="P82" s="8"/>
      <c r="Q82" s="8"/>
      <c r="R82" s="8"/>
      <c r="S82" s="8"/>
      <c r="T82" s="8"/>
      <c r="U82" s="8"/>
      <c r="V82" s="8"/>
      <c r="W82" s="8"/>
      <c r="X82" s="8"/>
      <c r="Y82" s="8"/>
      <c r="Z82" s="8"/>
    </row>
    <row r="83" spans="1:26" s="9" customFormat="1" ht="15.75">
      <c r="A83" s="17" t="s">
        <v>20</v>
      </c>
      <c r="B83" s="18">
        <v>9</v>
      </c>
      <c r="C83" s="18">
        <v>10</v>
      </c>
      <c r="D83" s="18">
        <v>6</v>
      </c>
      <c r="E83" s="18">
        <v>3</v>
      </c>
      <c r="F83" s="18">
        <v>6</v>
      </c>
      <c r="G83" s="18">
        <v>9</v>
      </c>
      <c r="H83" s="18">
        <v>17</v>
      </c>
      <c r="I83" s="18">
        <v>12</v>
      </c>
      <c r="J83" s="18">
        <v>6</v>
      </c>
      <c r="K83" s="18">
        <v>9</v>
      </c>
      <c r="L83" s="18">
        <v>11</v>
      </c>
      <c r="M83" s="18">
        <v>14</v>
      </c>
      <c r="N83" s="133">
        <f>SUM(B83:M83)</f>
        <v>112</v>
      </c>
      <c r="O83" s="19">
        <f>IF(N83=0,0,AVERAGE(B83:M83))</f>
        <v>9.3333333333333339</v>
      </c>
      <c r="P83" s="8"/>
      <c r="Q83" s="8"/>
      <c r="R83" s="8"/>
      <c r="S83" s="8"/>
      <c r="T83" s="8"/>
      <c r="U83" s="8"/>
      <c r="V83" s="8"/>
      <c r="W83" s="8"/>
      <c r="X83" s="8"/>
      <c r="Y83" s="8"/>
      <c r="Z83" s="8"/>
    </row>
    <row r="84" spans="1:26" s="9" customFormat="1" ht="15.75">
      <c r="A84" s="20" t="s">
        <v>21</v>
      </c>
      <c r="B84" s="21">
        <f t="shared" ref="B84:D84" si="45">IF(SUM(B81:B83)=0,"",SUM(B81:B83))</f>
        <v>198</v>
      </c>
      <c r="C84" s="21">
        <f t="shared" si="45"/>
        <v>215</v>
      </c>
      <c r="D84" s="21">
        <f t="shared" si="45"/>
        <v>179</v>
      </c>
      <c r="E84" s="21">
        <f t="shared" ref="E84:F84" si="46">IF(SUM(E81:E83)=0,"",SUM(E81:E83))</f>
        <v>110</v>
      </c>
      <c r="F84" s="21">
        <f t="shared" si="46"/>
        <v>226</v>
      </c>
      <c r="G84" s="21">
        <f t="shared" ref="G84:H84" si="47">IF(SUM(G81:G83)=0,"",SUM(G81:G83))</f>
        <v>214</v>
      </c>
      <c r="H84" s="21">
        <f t="shared" si="47"/>
        <v>241</v>
      </c>
      <c r="I84" s="21">
        <f t="shared" ref="I84:J84" si="48">IF(SUM(I81:I83)=0,"",SUM(I81:I83))</f>
        <v>243</v>
      </c>
      <c r="J84" s="21">
        <f t="shared" si="48"/>
        <v>225</v>
      </c>
      <c r="K84" s="21">
        <f t="shared" ref="K84:L84" si="49">IF(SUM(K81:K83)=0,"",SUM(K81:K83))</f>
        <v>232</v>
      </c>
      <c r="L84" s="21">
        <f t="shared" si="49"/>
        <v>224</v>
      </c>
      <c r="M84" s="21">
        <f t="shared" ref="M84" si="50">IF(SUM(M81:M83)=0,"",SUM(M81:M83))</f>
        <v>235</v>
      </c>
      <c r="N84" s="128">
        <f>SUM(N81:N83)</f>
        <v>2542</v>
      </c>
      <c r="O84" s="22">
        <f>SUM(O81:O83)</f>
        <v>211.83333333333334</v>
      </c>
      <c r="P84" s="8"/>
      <c r="Q84" s="8"/>
      <c r="R84" s="8"/>
      <c r="S84" s="8"/>
      <c r="T84" s="8"/>
      <c r="U84" s="8"/>
      <c r="V84" s="8"/>
      <c r="W84" s="8"/>
      <c r="X84" s="8"/>
      <c r="Y84" s="8"/>
      <c r="Z84" s="8"/>
    </row>
    <row r="85" spans="1:26" s="9" customFormat="1" ht="15.75">
      <c r="A85" s="56" t="s">
        <v>647</v>
      </c>
      <c r="B85" s="351">
        <f t="shared" ref="B85:I85" si="51">IF(ISERR(B84/$B$1676),"",B84/B1676)</f>
        <v>6.387096774193548</v>
      </c>
      <c r="C85" s="351">
        <f t="shared" si="51"/>
        <v>7.6785714285714288</v>
      </c>
      <c r="D85" s="351">
        <f t="shared" si="51"/>
        <v>5.774193548387097</v>
      </c>
      <c r="E85" s="351">
        <f t="shared" si="51"/>
        <v>3.6666666666666665</v>
      </c>
      <c r="F85" s="351">
        <f t="shared" si="51"/>
        <v>7.290322580645161</v>
      </c>
      <c r="G85" s="351">
        <f t="shared" si="51"/>
        <v>7.1333333333333337</v>
      </c>
      <c r="H85" s="351">
        <f t="shared" si="51"/>
        <v>7.774193548387097</v>
      </c>
      <c r="I85" s="351">
        <f t="shared" si="51"/>
        <v>7.838709677419355</v>
      </c>
      <c r="J85" s="351">
        <f t="shared" ref="J85:K85" si="52">IF(ISERR(J84/$B$1676),"",J84/J1676)</f>
        <v>7.5</v>
      </c>
      <c r="K85" s="351">
        <f t="shared" si="52"/>
        <v>7.4838709677419351</v>
      </c>
      <c r="L85" s="351">
        <f t="shared" ref="L85:M85" si="53">IF(ISERR(L84/$B$1676),"",L84/L1676)</f>
        <v>7.4666666666666668</v>
      </c>
      <c r="M85" s="351">
        <f t="shared" si="53"/>
        <v>7.580645161290323</v>
      </c>
      <c r="N85" s="128">
        <f>SUM(B85:M85)</f>
        <v>83.574270353302609</v>
      </c>
      <c r="O85" s="22">
        <f>IF(N85=0,0,AVERAGE(B85:M85))</f>
        <v>6.9645225294418838</v>
      </c>
      <c r="P85" s="8"/>
      <c r="Q85" s="8"/>
      <c r="R85" s="8"/>
      <c r="S85" s="8"/>
      <c r="T85" s="8"/>
      <c r="U85" s="8"/>
      <c r="V85" s="8"/>
      <c r="W85" s="8"/>
      <c r="X85" s="8"/>
      <c r="Y85" s="8"/>
      <c r="Z85" s="8"/>
    </row>
    <row r="86" spans="1:26" s="9" customFormat="1">
      <c r="A86" s="23"/>
      <c r="B86" s="24"/>
      <c r="C86" s="24"/>
      <c r="D86" s="24"/>
      <c r="E86" s="25"/>
      <c r="F86" s="25"/>
      <c r="G86" s="25"/>
      <c r="H86" s="25"/>
      <c r="I86" s="25"/>
      <c r="J86" s="25"/>
      <c r="K86" s="25"/>
      <c r="L86" s="25"/>
      <c r="M86" s="25"/>
      <c r="N86" s="134"/>
      <c r="O86" s="13"/>
      <c r="P86" s="8"/>
      <c r="Q86" s="8"/>
      <c r="R86" s="8"/>
      <c r="S86" s="8"/>
      <c r="T86" s="8"/>
      <c r="U86" s="8"/>
      <c r="V86" s="8"/>
      <c r="W86" s="8"/>
      <c r="X86" s="8"/>
      <c r="Y86" s="8"/>
      <c r="Z86" s="8"/>
    </row>
    <row r="87" spans="1:26" s="9" customFormat="1" ht="15.75">
      <c r="A87" s="14" t="s">
        <v>48</v>
      </c>
      <c r="B87" s="27"/>
      <c r="C87" s="27"/>
      <c r="D87" s="27"/>
      <c r="E87" s="27"/>
      <c r="F87" s="274"/>
      <c r="G87" s="274"/>
      <c r="H87" s="274"/>
      <c r="I87" s="274"/>
      <c r="J87" s="274"/>
      <c r="K87" s="274"/>
      <c r="L87" s="274"/>
      <c r="M87" s="274"/>
      <c r="N87" s="135"/>
      <c r="O87" s="28"/>
      <c r="P87" s="8"/>
      <c r="Q87" s="8"/>
      <c r="R87" s="8"/>
      <c r="S87" s="8"/>
      <c r="T87" s="8"/>
      <c r="U87" s="8"/>
      <c r="V87" s="8"/>
      <c r="W87" s="8"/>
      <c r="X87" s="8"/>
      <c r="Y87" s="8"/>
      <c r="Z87" s="8"/>
    </row>
    <row r="88" spans="1:26" s="9" customFormat="1" ht="15.75">
      <c r="A88" s="29" t="s">
        <v>49</v>
      </c>
      <c r="B88" s="18">
        <v>3</v>
      </c>
      <c r="C88" s="18">
        <v>4</v>
      </c>
      <c r="D88" s="18">
        <v>5</v>
      </c>
      <c r="E88" s="272">
        <v>0</v>
      </c>
      <c r="F88" s="35">
        <v>4</v>
      </c>
      <c r="G88" s="35">
        <v>6</v>
      </c>
      <c r="H88" s="35">
        <v>1</v>
      </c>
      <c r="I88" s="35">
        <v>6</v>
      </c>
      <c r="J88" s="35">
        <v>3</v>
      </c>
      <c r="K88" s="35">
        <v>5</v>
      </c>
      <c r="L88" s="35">
        <v>5</v>
      </c>
      <c r="M88" s="35">
        <v>5</v>
      </c>
      <c r="N88" s="177">
        <f>SUM(B88:M88)</f>
        <v>47</v>
      </c>
      <c r="O88" s="19">
        <f>IF(N88=0,0,AVERAGE(B88:M88))</f>
        <v>3.9166666666666665</v>
      </c>
      <c r="P88" s="8"/>
      <c r="Q88" s="8"/>
      <c r="R88" s="8"/>
      <c r="S88" s="8"/>
      <c r="T88" s="8"/>
      <c r="U88" s="8"/>
      <c r="V88" s="8"/>
      <c r="W88" s="8"/>
      <c r="X88" s="8"/>
      <c r="Y88" s="8"/>
      <c r="Z88" s="8"/>
    </row>
    <row r="89" spans="1:26" s="9" customFormat="1" ht="15.75">
      <c r="A89" s="29" t="s">
        <v>575</v>
      </c>
      <c r="B89" s="18">
        <v>1</v>
      </c>
      <c r="C89" s="18">
        <v>2</v>
      </c>
      <c r="D89" s="18">
        <v>0</v>
      </c>
      <c r="E89" s="272">
        <v>0</v>
      </c>
      <c r="F89" s="35">
        <v>0</v>
      </c>
      <c r="G89" s="35">
        <v>0</v>
      </c>
      <c r="H89" s="35">
        <v>0</v>
      </c>
      <c r="I89" s="35">
        <v>0</v>
      </c>
      <c r="J89" s="35">
        <v>0</v>
      </c>
      <c r="K89" s="35">
        <v>0</v>
      </c>
      <c r="L89" s="35">
        <v>2</v>
      </c>
      <c r="M89" s="35">
        <v>0</v>
      </c>
      <c r="N89" s="177">
        <f t="shared" ref="N89" si="54">SUM(B89:M89)</f>
        <v>5</v>
      </c>
      <c r="O89" s="19">
        <f t="shared" ref="O89" si="55">IF(N89=0,0,AVERAGE(B89:M89))</f>
        <v>0.41666666666666669</v>
      </c>
      <c r="P89" s="8"/>
      <c r="Q89" s="8"/>
      <c r="R89" s="8"/>
      <c r="S89" s="8"/>
      <c r="T89" s="8"/>
      <c r="U89" s="8"/>
      <c r="V89" s="8"/>
      <c r="W89" s="8"/>
      <c r="X89" s="8"/>
      <c r="Y89" s="8"/>
      <c r="Z89" s="8"/>
    </row>
    <row r="90" spans="1:26" s="9" customFormat="1" ht="15.75">
      <c r="A90" s="29" t="s">
        <v>873</v>
      </c>
      <c r="B90" s="18">
        <v>0</v>
      </c>
      <c r="C90" s="18">
        <v>0</v>
      </c>
      <c r="D90" s="18">
        <v>0</v>
      </c>
      <c r="E90" s="272">
        <v>0</v>
      </c>
      <c r="F90" s="35">
        <v>0</v>
      </c>
      <c r="G90" s="35">
        <v>0</v>
      </c>
      <c r="H90" s="35">
        <v>0</v>
      </c>
      <c r="I90" s="35">
        <v>1</v>
      </c>
      <c r="J90" s="35">
        <v>0</v>
      </c>
      <c r="K90" s="35">
        <v>0</v>
      </c>
      <c r="L90" s="35">
        <v>0</v>
      </c>
      <c r="M90" s="35">
        <v>0</v>
      </c>
      <c r="N90" s="177">
        <f t="shared" ref="N90" si="56">SUM(B90:M90)</f>
        <v>1</v>
      </c>
      <c r="O90" s="19">
        <f t="shared" ref="O90" si="57">IF(N90=0,0,AVERAGE(B90:M90))</f>
        <v>8.3333333333333329E-2</v>
      </c>
      <c r="P90" s="8"/>
      <c r="Q90" s="8"/>
      <c r="R90" s="8"/>
      <c r="S90" s="8"/>
      <c r="T90" s="8"/>
      <c r="U90" s="8"/>
      <c r="V90" s="8"/>
      <c r="W90" s="8"/>
      <c r="X90" s="8"/>
      <c r="Y90" s="8"/>
      <c r="Z90" s="8"/>
    </row>
    <row r="91" spans="1:26" s="9" customFormat="1" ht="15.75">
      <c r="A91" s="29" t="s">
        <v>855</v>
      </c>
      <c r="B91" s="18">
        <v>0</v>
      </c>
      <c r="C91" s="18">
        <v>0</v>
      </c>
      <c r="D91" s="18">
        <v>0</v>
      </c>
      <c r="E91" s="272">
        <v>0</v>
      </c>
      <c r="F91" s="35">
        <v>1</v>
      </c>
      <c r="G91" s="35">
        <v>0</v>
      </c>
      <c r="H91" s="35">
        <v>0</v>
      </c>
      <c r="I91" s="35">
        <v>0</v>
      </c>
      <c r="J91" s="35">
        <v>0</v>
      </c>
      <c r="K91" s="35">
        <v>0</v>
      </c>
      <c r="L91" s="35">
        <v>0</v>
      </c>
      <c r="M91" s="35">
        <v>0</v>
      </c>
      <c r="N91" s="177">
        <f t="shared" ref="N91:N112" si="58">SUM(B91:M91)</f>
        <v>1</v>
      </c>
      <c r="O91" s="19">
        <f t="shared" ref="O91:O112" si="59">IF(N91=0,0,AVERAGE(B91:M91))</f>
        <v>8.3333333333333329E-2</v>
      </c>
      <c r="P91" s="8"/>
      <c r="Q91" s="8"/>
      <c r="R91" s="8"/>
      <c r="S91" s="8"/>
      <c r="T91" s="8"/>
      <c r="U91" s="8"/>
      <c r="V91" s="8"/>
      <c r="W91" s="8"/>
      <c r="X91" s="8"/>
      <c r="Y91" s="8"/>
      <c r="Z91" s="8"/>
    </row>
    <row r="92" spans="1:26" s="9" customFormat="1" ht="15.75">
      <c r="A92" s="29" t="s">
        <v>816</v>
      </c>
      <c r="B92" s="18">
        <v>0</v>
      </c>
      <c r="C92" s="18">
        <v>1</v>
      </c>
      <c r="D92" s="18">
        <v>1</v>
      </c>
      <c r="E92" s="272">
        <v>0</v>
      </c>
      <c r="F92" s="35">
        <v>0</v>
      </c>
      <c r="G92" s="35">
        <v>0</v>
      </c>
      <c r="H92" s="35">
        <v>0</v>
      </c>
      <c r="I92" s="35">
        <v>0</v>
      </c>
      <c r="J92" s="35">
        <v>0</v>
      </c>
      <c r="K92" s="35">
        <v>0</v>
      </c>
      <c r="L92" s="35">
        <v>0</v>
      </c>
      <c r="M92" s="35">
        <v>0</v>
      </c>
      <c r="N92" s="177">
        <f t="shared" si="58"/>
        <v>2</v>
      </c>
      <c r="O92" s="19">
        <f t="shared" si="59"/>
        <v>0.16666666666666666</v>
      </c>
      <c r="P92" s="8"/>
      <c r="Q92" s="8"/>
      <c r="R92" s="8"/>
      <c r="S92" s="8"/>
      <c r="T92" s="8"/>
      <c r="U92" s="8"/>
      <c r="V92" s="8"/>
      <c r="W92" s="8"/>
      <c r="X92" s="8"/>
      <c r="Y92" s="8"/>
      <c r="Z92" s="8"/>
    </row>
    <row r="93" spans="1:26" s="9" customFormat="1" ht="15.75">
      <c r="A93" s="29" t="s">
        <v>842</v>
      </c>
      <c r="B93" s="18">
        <v>0</v>
      </c>
      <c r="C93" s="18">
        <v>3</v>
      </c>
      <c r="D93" s="18">
        <v>0</v>
      </c>
      <c r="E93" s="272">
        <v>0</v>
      </c>
      <c r="F93" s="35">
        <v>2</v>
      </c>
      <c r="G93" s="35">
        <v>0</v>
      </c>
      <c r="H93" s="35">
        <v>3</v>
      </c>
      <c r="I93" s="35">
        <v>4</v>
      </c>
      <c r="J93" s="35">
        <v>0</v>
      </c>
      <c r="K93" s="35">
        <v>1</v>
      </c>
      <c r="L93" s="35">
        <v>3</v>
      </c>
      <c r="M93" s="35">
        <v>1</v>
      </c>
      <c r="N93" s="177">
        <f t="shared" si="58"/>
        <v>17</v>
      </c>
      <c r="O93" s="19">
        <f t="shared" si="59"/>
        <v>1.4166666666666667</v>
      </c>
      <c r="P93" s="8"/>
      <c r="Q93" s="8"/>
      <c r="R93" s="8"/>
      <c r="S93" s="8"/>
      <c r="T93" s="8"/>
      <c r="U93" s="8"/>
      <c r="V93" s="8"/>
      <c r="W93" s="8"/>
      <c r="X93" s="8"/>
      <c r="Y93" s="8"/>
      <c r="Z93" s="8"/>
    </row>
    <row r="94" spans="1:26" s="9" customFormat="1" ht="15.75">
      <c r="A94" s="29" t="s">
        <v>876</v>
      </c>
      <c r="B94" s="18">
        <v>0</v>
      </c>
      <c r="C94" s="18">
        <v>0</v>
      </c>
      <c r="D94" s="18">
        <v>0</v>
      </c>
      <c r="E94" s="272">
        <v>0</v>
      </c>
      <c r="F94" s="35">
        <v>0</v>
      </c>
      <c r="G94" s="35">
        <v>0</v>
      </c>
      <c r="H94" s="35">
        <v>0</v>
      </c>
      <c r="I94" s="35">
        <v>0</v>
      </c>
      <c r="J94" s="35">
        <v>2</v>
      </c>
      <c r="K94" s="35">
        <v>1</v>
      </c>
      <c r="L94" s="35">
        <v>0</v>
      </c>
      <c r="M94" s="35">
        <v>1</v>
      </c>
      <c r="N94" s="177">
        <f t="shared" si="58"/>
        <v>4</v>
      </c>
      <c r="O94" s="19">
        <f t="shared" si="59"/>
        <v>0.33333333333333331</v>
      </c>
      <c r="P94" s="8"/>
      <c r="Q94" s="8"/>
      <c r="R94" s="8"/>
      <c r="S94" s="8"/>
      <c r="T94" s="8"/>
      <c r="U94" s="8"/>
      <c r="V94" s="8"/>
      <c r="W94" s="8"/>
      <c r="X94" s="8"/>
      <c r="Y94" s="8"/>
      <c r="Z94" s="8"/>
    </row>
    <row r="95" spans="1:26" s="9" customFormat="1" ht="15.75">
      <c r="A95" s="29" t="s">
        <v>50</v>
      </c>
      <c r="B95" s="18">
        <v>16</v>
      </c>
      <c r="C95" s="18">
        <v>16</v>
      </c>
      <c r="D95" s="18">
        <v>18</v>
      </c>
      <c r="E95" s="273">
        <v>14</v>
      </c>
      <c r="F95" s="35">
        <v>15</v>
      </c>
      <c r="G95" s="35">
        <v>29</v>
      </c>
      <c r="H95" s="35">
        <v>26</v>
      </c>
      <c r="I95" s="35">
        <v>33</v>
      </c>
      <c r="J95" s="35">
        <v>23</v>
      </c>
      <c r="K95" s="35">
        <v>33</v>
      </c>
      <c r="L95" s="35">
        <v>32</v>
      </c>
      <c r="M95" s="35">
        <v>32</v>
      </c>
      <c r="N95" s="177">
        <f t="shared" si="58"/>
        <v>287</v>
      </c>
      <c r="O95" s="19">
        <f t="shared" si="59"/>
        <v>23.916666666666668</v>
      </c>
      <c r="P95" s="8"/>
      <c r="Q95" s="8"/>
      <c r="R95" s="8"/>
      <c r="S95" s="8"/>
      <c r="T95" s="8"/>
      <c r="U95" s="8"/>
      <c r="V95" s="8"/>
      <c r="W95" s="8"/>
      <c r="X95" s="8"/>
      <c r="Y95" s="8"/>
      <c r="Z95" s="8"/>
    </row>
    <row r="96" spans="1:26" s="9" customFormat="1" ht="15.75">
      <c r="A96" s="29" t="s">
        <v>851</v>
      </c>
      <c r="B96" s="18">
        <v>0</v>
      </c>
      <c r="C96" s="18">
        <v>0</v>
      </c>
      <c r="D96" s="18">
        <v>0</v>
      </c>
      <c r="E96" s="273">
        <v>1</v>
      </c>
      <c r="F96" s="35">
        <v>1</v>
      </c>
      <c r="G96" s="35">
        <v>0</v>
      </c>
      <c r="H96" s="35">
        <v>0</v>
      </c>
      <c r="I96" s="35">
        <v>1</v>
      </c>
      <c r="J96" s="35">
        <v>1</v>
      </c>
      <c r="K96" s="35">
        <v>0</v>
      </c>
      <c r="L96" s="35">
        <v>2</v>
      </c>
      <c r="M96" s="35">
        <v>1</v>
      </c>
      <c r="N96" s="177">
        <f t="shared" si="58"/>
        <v>7</v>
      </c>
      <c r="O96" s="19">
        <f t="shared" si="59"/>
        <v>0.58333333333333337</v>
      </c>
      <c r="P96" s="8"/>
      <c r="Q96" s="8"/>
      <c r="R96" s="8"/>
      <c r="S96" s="8"/>
      <c r="T96" s="8"/>
      <c r="U96" s="8"/>
      <c r="V96" s="8"/>
      <c r="W96" s="8"/>
      <c r="X96" s="8"/>
      <c r="Y96" s="8"/>
      <c r="Z96" s="8"/>
    </row>
    <row r="97" spans="1:26" s="9" customFormat="1" ht="15.75">
      <c r="A97" s="29" t="s">
        <v>856</v>
      </c>
      <c r="B97" s="18">
        <v>0</v>
      </c>
      <c r="C97" s="18">
        <v>0</v>
      </c>
      <c r="D97" s="18">
        <v>0</v>
      </c>
      <c r="E97" s="273">
        <v>0</v>
      </c>
      <c r="F97" s="35">
        <v>1</v>
      </c>
      <c r="G97" s="35">
        <v>1</v>
      </c>
      <c r="H97" s="35">
        <v>0</v>
      </c>
      <c r="I97" s="35">
        <v>2</v>
      </c>
      <c r="J97" s="35">
        <v>0</v>
      </c>
      <c r="K97" s="35">
        <v>1</v>
      </c>
      <c r="L97" s="35">
        <v>0</v>
      </c>
      <c r="M97" s="35">
        <v>0</v>
      </c>
      <c r="N97" s="177">
        <f t="shared" si="58"/>
        <v>5</v>
      </c>
      <c r="O97" s="19">
        <f t="shared" si="59"/>
        <v>0.41666666666666669</v>
      </c>
      <c r="P97" s="8"/>
      <c r="Q97" s="8"/>
      <c r="R97" s="8"/>
      <c r="S97" s="8"/>
      <c r="T97" s="8"/>
      <c r="U97" s="8"/>
      <c r="V97" s="8"/>
      <c r="W97" s="8"/>
      <c r="X97" s="8"/>
      <c r="Y97" s="8"/>
      <c r="Z97" s="8"/>
    </row>
    <row r="98" spans="1:26" s="9" customFormat="1" ht="15.75">
      <c r="A98" s="29" t="s">
        <v>885</v>
      </c>
      <c r="B98" s="18">
        <v>0</v>
      </c>
      <c r="C98" s="18">
        <v>0</v>
      </c>
      <c r="D98" s="18">
        <v>0</v>
      </c>
      <c r="E98" s="273">
        <v>0</v>
      </c>
      <c r="F98" s="35">
        <v>0</v>
      </c>
      <c r="G98" s="35">
        <v>0</v>
      </c>
      <c r="H98" s="35">
        <v>0</v>
      </c>
      <c r="I98" s="35">
        <v>0</v>
      </c>
      <c r="J98" s="35">
        <v>0</v>
      </c>
      <c r="K98" s="35">
        <v>0</v>
      </c>
      <c r="L98" s="35">
        <v>0</v>
      </c>
      <c r="M98" s="35">
        <v>1</v>
      </c>
      <c r="N98" s="177">
        <f t="shared" si="58"/>
        <v>1</v>
      </c>
      <c r="O98" s="19">
        <f t="shared" si="59"/>
        <v>8.3333333333333329E-2</v>
      </c>
      <c r="P98" s="8"/>
      <c r="Q98" s="8"/>
      <c r="R98" s="8"/>
      <c r="S98" s="8"/>
      <c r="T98" s="8"/>
      <c r="U98" s="8"/>
      <c r="V98" s="8"/>
      <c r="W98" s="8"/>
      <c r="X98" s="8"/>
      <c r="Y98" s="8"/>
      <c r="Z98" s="8"/>
    </row>
    <row r="99" spans="1:26" s="9" customFormat="1" ht="15.75">
      <c r="A99" s="29" t="s">
        <v>817</v>
      </c>
      <c r="B99" s="18">
        <v>0</v>
      </c>
      <c r="C99" s="18">
        <v>1</v>
      </c>
      <c r="D99" s="18">
        <v>0</v>
      </c>
      <c r="E99" s="273">
        <v>0</v>
      </c>
      <c r="F99" s="35">
        <v>2</v>
      </c>
      <c r="G99" s="35">
        <v>1</v>
      </c>
      <c r="H99" s="35">
        <v>1</v>
      </c>
      <c r="I99" s="35">
        <v>0</v>
      </c>
      <c r="J99" s="35">
        <v>1</v>
      </c>
      <c r="K99" s="35">
        <v>1</v>
      </c>
      <c r="L99" s="35">
        <v>0</v>
      </c>
      <c r="M99" s="35">
        <v>0</v>
      </c>
      <c r="N99" s="177">
        <f t="shared" si="58"/>
        <v>7</v>
      </c>
      <c r="O99" s="19">
        <f t="shared" si="59"/>
        <v>0.58333333333333337</v>
      </c>
      <c r="P99" s="8"/>
      <c r="Q99" s="8"/>
      <c r="R99" s="8"/>
      <c r="S99" s="8"/>
      <c r="T99" s="8"/>
      <c r="U99" s="8"/>
      <c r="V99" s="8"/>
      <c r="W99" s="8"/>
      <c r="X99" s="8"/>
      <c r="Y99" s="8"/>
      <c r="Z99" s="8"/>
    </row>
    <row r="100" spans="1:26" s="9" customFormat="1" ht="15.75">
      <c r="A100" s="29" t="s">
        <v>293</v>
      </c>
      <c r="B100" s="18">
        <v>12</v>
      </c>
      <c r="C100" s="18">
        <v>9</v>
      </c>
      <c r="D100" s="18">
        <v>8</v>
      </c>
      <c r="E100" s="273">
        <v>3</v>
      </c>
      <c r="F100" s="35">
        <v>6</v>
      </c>
      <c r="G100" s="35">
        <v>5</v>
      </c>
      <c r="H100" s="35">
        <v>5</v>
      </c>
      <c r="I100" s="35">
        <v>6</v>
      </c>
      <c r="J100" s="35">
        <v>7</v>
      </c>
      <c r="K100" s="35">
        <v>6</v>
      </c>
      <c r="L100" s="35">
        <v>5</v>
      </c>
      <c r="M100" s="35">
        <v>6</v>
      </c>
      <c r="N100" s="177">
        <f t="shared" si="58"/>
        <v>78</v>
      </c>
      <c r="O100" s="19">
        <f t="shared" si="59"/>
        <v>6.5</v>
      </c>
      <c r="P100" s="8"/>
      <c r="Q100" s="8"/>
      <c r="R100" s="8"/>
      <c r="S100" s="8"/>
      <c r="T100" s="8"/>
      <c r="U100" s="8"/>
      <c r="V100" s="8"/>
      <c r="W100" s="8"/>
      <c r="X100" s="8"/>
      <c r="Y100" s="8"/>
      <c r="Z100" s="8"/>
    </row>
    <row r="101" spans="1:26" s="9" customFormat="1" ht="15.75">
      <c r="A101" s="29" t="s">
        <v>51</v>
      </c>
      <c r="B101" s="18">
        <v>73</v>
      </c>
      <c r="C101" s="18">
        <v>88</v>
      </c>
      <c r="D101" s="18">
        <v>90</v>
      </c>
      <c r="E101" s="273">
        <v>54</v>
      </c>
      <c r="F101" s="35">
        <v>86</v>
      </c>
      <c r="G101" s="35">
        <v>74</v>
      </c>
      <c r="H101" s="35">
        <v>94</v>
      </c>
      <c r="I101" s="35">
        <v>82</v>
      </c>
      <c r="J101" s="35">
        <v>85</v>
      </c>
      <c r="K101" s="35">
        <v>87</v>
      </c>
      <c r="L101" s="35">
        <v>75</v>
      </c>
      <c r="M101" s="35">
        <v>94</v>
      </c>
      <c r="N101" s="177">
        <f t="shared" si="58"/>
        <v>982</v>
      </c>
      <c r="O101" s="19">
        <f t="shared" si="59"/>
        <v>81.833333333333329</v>
      </c>
      <c r="P101" s="8"/>
      <c r="Q101" s="8"/>
      <c r="R101" s="8"/>
      <c r="S101" s="8"/>
      <c r="T101" s="8"/>
      <c r="U101" s="8"/>
      <c r="V101" s="8"/>
      <c r="W101" s="8"/>
      <c r="X101" s="8"/>
      <c r="Y101" s="8"/>
      <c r="Z101" s="8"/>
    </row>
    <row r="102" spans="1:26" s="9" customFormat="1" ht="15.75">
      <c r="A102" s="29" t="s">
        <v>52</v>
      </c>
      <c r="B102" s="18">
        <v>1</v>
      </c>
      <c r="C102" s="18">
        <v>3</v>
      </c>
      <c r="D102" s="18">
        <v>4</v>
      </c>
      <c r="E102" s="273">
        <v>1</v>
      </c>
      <c r="F102" s="35">
        <v>5</v>
      </c>
      <c r="G102" s="35">
        <v>2</v>
      </c>
      <c r="H102" s="35">
        <v>1</v>
      </c>
      <c r="I102" s="35">
        <v>2</v>
      </c>
      <c r="J102" s="35">
        <v>3</v>
      </c>
      <c r="K102" s="35">
        <v>7</v>
      </c>
      <c r="L102" s="35">
        <v>2</v>
      </c>
      <c r="M102" s="35">
        <v>3</v>
      </c>
      <c r="N102" s="177">
        <f t="shared" si="58"/>
        <v>34</v>
      </c>
      <c r="O102" s="19">
        <f t="shared" si="59"/>
        <v>2.8333333333333335</v>
      </c>
      <c r="P102" s="8"/>
      <c r="Q102" s="8"/>
      <c r="R102" s="8"/>
      <c r="S102" s="8"/>
      <c r="T102" s="8"/>
      <c r="U102" s="8"/>
      <c r="V102" s="8"/>
      <c r="W102" s="8"/>
      <c r="X102" s="8"/>
      <c r="Y102" s="8"/>
      <c r="Z102" s="8"/>
    </row>
    <row r="103" spans="1:26" s="9" customFormat="1" ht="15.75">
      <c r="A103" s="29" t="s">
        <v>685</v>
      </c>
      <c r="B103" s="18">
        <v>1</v>
      </c>
      <c r="C103" s="18">
        <v>3</v>
      </c>
      <c r="D103" s="18">
        <v>1</v>
      </c>
      <c r="E103" s="273">
        <v>0</v>
      </c>
      <c r="F103" s="35">
        <v>0</v>
      </c>
      <c r="G103" s="35">
        <v>2</v>
      </c>
      <c r="H103" s="35">
        <v>1</v>
      </c>
      <c r="I103" s="35">
        <v>0</v>
      </c>
      <c r="J103" s="35">
        <v>1</v>
      </c>
      <c r="K103" s="35">
        <v>0</v>
      </c>
      <c r="L103" s="35">
        <v>0</v>
      </c>
      <c r="M103" s="35">
        <v>2</v>
      </c>
      <c r="N103" s="177">
        <f t="shared" si="58"/>
        <v>11</v>
      </c>
      <c r="O103" s="19">
        <f t="shared" si="59"/>
        <v>0.91666666666666663</v>
      </c>
      <c r="P103" s="8"/>
      <c r="Q103" s="8"/>
      <c r="R103" s="8"/>
      <c r="S103" s="8"/>
      <c r="T103" s="8"/>
      <c r="U103" s="8"/>
      <c r="V103" s="8"/>
      <c r="W103" s="8"/>
      <c r="X103" s="8"/>
      <c r="Y103" s="8"/>
      <c r="Z103" s="8"/>
    </row>
    <row r="104" spans="1:26" s="9" customFormat="1" ht="15.75">
      <c r="A104" s="29" t="s">
        <v>843</v>
      </c>
      <c r="B104" s="18">
        <v>0</v>
      </c>
      <c r="C104" s="18">
        <v>0</v>
      </c>
      <c r="D104" s="18">
        <v>1</v>
      </c>
      <c r="E104" s="273">
        <v>0</v>
      </c>
      <c r="F104" s="35">
        <v>0</v>
      </c>
      <c r="G104" s="35">
        <v>1</v>
      </c>
      <c r="H104" s="35">
        <v>0</v>
      </c>
      <c r="I104" s="35">
        <v>0</v>
      </c>
      <c r="J104" s="35">
        <v>0</v>
      </c>
      <c r="K104" s="35">
        <v>0</v>
      </c>
      <c r="L104" s="35">
        <v>0</v>
      </c>
      <c r="M104" s="35">
        <v>1</v>
      </c>
      <c r="N104" s="177">
        <f t="shared" si="58"/>
        <v>3</v>
      </c>
      <c r="O104" s="19">
        <f t="shared" si="59"/>
        <v>0.25</v>
      </c>
      <c r="P104" s="8"/>
      <c r="Q104" s="8"/>
      <c r="R104" s="8"/>
      <c r="S104" s="8"/>
      <c r="T104" s="8"/>
      <c r="U104" s="8"/>
      <c r="V104" s="8"/>
      <c r="W104" s="8"/>
      <c r="X104" s="8"/>
      <c r="Y104" s="8"/>
      <c r="Z104" s="8"/>
    </row>
    <row r="105" spans="1:26" s="9" customFormat="1" ht="15.75">
      <c r="A105" s="29" t="s">
        <v>53</v>
      </c>
      <c r="B105" s="18">
        <v>2</v>
      </c>
      <c r="C105" s="18">
        <v>5</v>
      </c>
      <c r="D105" s="18">
        <v>1</v>
      </c>
      <c r="E105" s="273">
        <v>0</v>
      </c>
      <c r="F105" s="35">
        <v>3</v>
      </c>
      <c r="G105" s="35">
        <v>6</v>
      </c>
      <c r="H105" s="289">
        <v>1</v>
      </c>
      <c r="I105" s="35">
        <v>2</v>
      </c>
      <c r="J105" s="35">
        <v>2</v>
      </c>
      <c r="K105" s="35">
        <v>1</v>
      </c>
      <c r="L105" s="35">
        <v>3</v>
      </c>
      <c r="M105" s="35">
        <v>1</v>
      </c>
      <c r="N105" s="177">
        <f t="shared" si="58"/>
        <v>27</v>
      </c>
      <c r="O105" s="19">
        <f t="shared" si="59"/>
        <v>2.25</v>
      </c>
      <c r="P105" s="8"/>
      <c r="Q105" s="8"/>
      <c r="R105" s="8"/>
      <c r="S105" s="8"/>
      <c r="T105" s="8"/>
      <c r="U105" s="8"/>
      <c r="V105" s="8"/>
      <c r="W105" s="8"/>
      <c r="X105" s="8"/>
      <c r="Y105" s="8"/>
      <c r="Z105" s="8"/>
    </row>
    <row r="106" spans="1:26" s="9" customFormat="1" ht="15.75">
      <c r="A106" s="29" t="s">
        <v>818</v>
      </c>
      <c r="B106" s="18">
        <v>0</v>
      </c>
      <c r="C106" s="18">
        <v>1</v>
      </c>
      <c r="D106" s="18">
        <v>1</v>
      </c>
      <c r="E106" s="273">
        <v>0</v>
      </c>
      <c r="F106" s="35">
        <v>0</v>
      </c>
      <c r="G106" s="35">
        <v>2</v>
      </c>
      <c r="H106" s="289">
        <v>0</v>
      </c>
      <c r="I106" s="35">
        <v>1</v>
      </c>
      <c r="J106" s="35">
        <v>2</v>
      </c>
      <c r="K106" s="35">
        <v>0</v>
      </c>
      <c r="L106" s="35">
        <v>1</v>
      </c>
      <c r="M106" s="35">
        <v>0</v>
      </c>
      <c r="N106" s="177">
        <f t="shared" si="58"/>
        <v>8</v>
      </c>
      <c r="O106" s="19">
        <f t="shared" si="59"/>
        <v>0.66666666666666663</v>
      </c>
      <c r="P106" s="8"/>
      <c r="Q106" s="8"/>
      <c r="R106" s="8"/>
      <c r="S106" s="8"/>
      <c r="T106" s="8"/>
      <c r="U106" s="8"/>
      <c r="V106" s="8"/>
      <c r="W106" s="8"/>
      <c r="X106" s="8"/>
      <c r="Y106" s="8"/>
      <c r="Z106" s="8"/>
    </row>
    <row r="107" spans="1:26" s="9" customFormat="1" ht="15.75">
      <c r="A107" s="29" t="s">
        <v>819</v>
      </c>
      <c r="B107" s="18">
        <v>0</v>
      </c>
      <c r="C107" s="18">
        <v>1</v>
      </c>
      <c r="D107" s="18">
        <v>0</v>
      </c>
      <c r="E107" s="273">
        <v>1</v>
      </c>
      <c r="F107" s="35">
        <v>2</v>
      </c>
      <c r="G107" s="35">
        <v>1</v>
      </c>
      <c r="H107" s="289">
        <v>1</v>
      </c>
      <c r="I107" s="35">
        <v>1</v>
      </c>
      <c r="J107" s="35">
        <v>1</v>
      </c>
      <c r="K107" s="35">
        <v>1</v>
      </c>
      <c r="L107" s="35">
        <v>1</v>
      </c>
      <c r="M107" s="35">
        <v>2</v>
      </c>
      <c r="N107" s="177">
        <f t="shared" si="58"/>
        <v>12</v>
      </c>
      <c r="O107" s="19">
        <f t="shared" si="59"/>
        <v>1</v>
      </c>
      <c r="P107" s="8"/>
      <c r="Q107" s="8"/>
      <c r="R107" s="8"/>
      <c r="S107" s="8"/>
      <c r="T107" s="8"/>
      <c r="U107" s="8"/>
      <c r="V107" s="8"/>
      <c r="W107" s="8"/>
      <c r="X107" s="8"/>
      <c r="Y107" s="8"/>
      <c r="Z107" s="8"/>
    </row>
    <row r="108" spans="1:26" s="9" customFormat="1" ht="15.75">
      <c r="A108" s="29" t="s">
        <v>857</v>
      </c>
      <c r="B108" s="18">
        <v>0</v>
      </c>
      <c r="C108" s="18">
        <v>0</v>
      </c>
      <c r="D108" s="18">
        <v>0</v>
      </c>
      <c r="E108" s="273">
        <v>0</v>
      </c>
      <c r="F108" s="35">
        <v>2</v>
      </c>
      <c r="G108" s="35">
        <v>1</v>
      </c>
      <c r="H108" s="289">
        <v>0</v>
      </c>
      <c r="I108" s="35">
        <v>1</v>
      </c>
      <c r="J108" s="35">
        <v>1</v>
      </c>
      <c r="K108" s="35">
        <v>1</v>
      </c>
      <c r="L108" s="35">
        <v>1</v>
      </c>
      <c r="M108" s="35">
        <v>1</v>
      </c>
      <c r="N108" s="177">
        <f t="shared" si="58"/>
        <v>8</v>
      </c>
      <c r="O108" s="19">
        <f t="shared" si="59"/>
        <v>0.66666666666666663</v>
      </c>
      <c r="P108" s="8"/>
      <c r="Q108" s="8"/>
      <c r="R108" s="8"/>
      <c r="S108" s="8"/>
      <c r="T108" s="8"/>
      <c r="U108" s="8"/>
      <c r="V108" s="8"/>
      <c r="W108" s="8"/>
      <c r="X108" s="8"/>
      <c r="Y108" s="8"/>
      <c r="Z108" s="8"/>
    </row>
    <row r="109" spans="1:26" s="9" customFormat="1" ht="15.75">
      <c r="A109" s="29" t="s">
        <v>844</v>
      </c>
      <c r="B109" s="18">
        <v>0</v>
      </c>
      <c r="C109" s="18">
        <v>0</v>
      </c>
      <c r="D109" s="18">
        <v>1</v>
      </c>
      <c r="E109" s="273">
        <v>0</v>
      </c>
      <c r="F109" s="35">
        <v>1</v>
      </c>
      <c r="G109" s="35">
        <v>1</v>
      </c>
      <c r="H109" s="289">
        <v>0</v>
      </c>
      <c r="I109" s="35">
        <v>0</v>
      </c>
      <c r="J109" s="35">
        <v>2</v>
      </c>
      <c r="K109" s="35">
        <v>3</v>
      </c>
      <c r="L109" s="35">
        <v>2</v>
      </c>
      <c r="M109" s="35">
        <v>1</v>
      </c>
      <c r="N109" s="177">
        <f t="shared" si="58"/>
        <v>11</v>
      </c>
      <c r="O109" s="19">
        <f t="shared" si="59"/>
        <v>0.91666666666666663</v>
      </c>
      <c r="P109" s="8"/>
      <c r="Q109" s="8"/>
      <c r="R109" s="8"/>
      <c r="S109" s="8"/>
      <c r="T109" s="8"/>
      <c r="U109" s="8"/>
      <c r="V109" s="8"/>
      <c r="W109" s="8"/>
      <c r="X109" s="8"/>
      <c r="Y109" s="8"/>
      <c r="Z109" s="8"/>
    </row>
    <row r="110" spans="1:26" s="9" customFormat="1" ht="15.75">
      <c r="A110" s="29" t="s">
        <v>877</v>
      </c>
      <c r="B110" s="18">
        <v>0</v>
      </c>
      <c r="C110" s="18">
        <v>0</v>
      </c>
      <c r="D110" s="18">
        <v>0</v>
      </c>
      <c r="E110" s="273">
        <v>0</v>
      </c>
      <c r="F110" s="35">
        <v>0</v>
      </c>
      <c r="G110" s="35">
        <v>0</v>
      </c>
      <c r="H110" s="289">
        <v>0</v>
      </c>
      <c r="I110" s="35">
        <v>0</v>
      </c>
      <c r="J110" s="35">
        <v>1</v>
      </c>
      <c r="K110" s="35">
        <v>0</v>
      </c>
      <c r="L110" s="35">
        <v>0</v>
      </c>
      <c r="M110" s="35"/>
      <c r="N110" s="177">
        <f t="shared" si="58"/>
        <v>1</v>
      </c>
      <c r="O110" s="19">
        <f t="shared" si="59"/>
        <v>9.0909090909090912E-2</v>
      </c>
      <c r="P110" s="8"/>
      <c r="Q110" s="8"/>
      <c r="R110" s="8"/>
      <c r="S110" s="8"/>
      <c r="T110" s="8"/>
      <c r="U110" s="8"/>
      <c r="V110" s="8"/>
      <c r="W110" s="8"/>
      <c r="X110" s="8"/>
      <c r="Y110" s="8"/>
      <c r="Z110" s="8"/>
    </row>
    <row r="111" spans="1:26" s="9" customFormat="1" ht="15.75">
      <c r="A111" s="33" t="s">
        <v>294</v>
      </c>
      <c r="B111" s="18">
        <v>3</v>
      </c>
      <c r="C111" s="18">
        <v>0</v>
      </c>
      <c r="D111" s="18">
        <v>1</v>
      </c>
      <c r="E111" s="273">
        <v>0</v>
      </c>
      <c r="F111" s="35">
        <v>2</v>
      </c>
      <c r="G111" s="35">
        <v>1</v>
      </c>
      <c r="H111" s="35">
        <v>2</v>
      </c>
      <c r="I111" s="35">
        <v>1</v>
      </c>
      <c r="J111" s="35">
        <v>1</v>
      </c>
      <c r="K111" s="35">
        <v>2</v>
      </c>
      <c r="L111" s="35">
        <v>2</v>
      </c>
      <c r="M111" s="35">
        <v>3</v>
      </c>
      <c r="N111" s="177">
        <f t="shared" si="58"/>
        <v>18</v>
      </c>
      <c r="O111" s="19">
        <f t="shared" si="59"/>
        <v>1.5</v>
      </c>
      <c r="P111" s="8"/>
      <c r="Q111" s="8"/>
      <c r="R111" s="8"/>
      <c r="S111" s="8"/>
      <c r="T111" s="8"/>
      <c r="U111" s="8"/>
      <c r="V111" s="8"/>
      <c r="W111" s="8"/>
      <c r="X111" s="8"/>
      <c r="Y111" s="8"/>
      <c r="Z111" s="8"/>
    </row>
    <row r="112" spans="1:26" s="9" customFormat="1" ht="15.75">
      <c r="A112" s="33" t="s">
        <v>864</v>
      </c>
      <c r="B112" s="18">
        <v>0</v>
      </c>
      <c r="C112" s="18">
        <v>0</v>
      </c>
      <c r="D112" s="18">
        <v>0</v>
      </c>
      <c r="E112" s="273">
        <v>0</v>
      </c>
      <c r="F112" s="35">
        <v>0</v>
      </c>
      <c r="G112" s="35">
        <v>1</v>
      </c>
      <c r="H112" s="35">
        <v>0</v>
      </c>
      <c r="I112" s="35">
        <v>3</v>
      </c>
      <c r="J112" s="35">
        <v>0</v>
      </c>
      <c r="K112" s="35">
        <v>0</v>
      </c>
      <c r="L112" s="35">
        <v>1</v>
      </c>
      <c r="M112" s="35">
        <v>1</v>
      </c>
      <c r="N112" s="177">
        <f t="shared" si="58"/>
        <v>6</v>
      </c>
      <c r="O112" s="19">
        <f t="shared" si="59"/>
        <v>0.5</v>
      </c>
      <c r="P112" s="8"/>
      <c r="Q112" s="8"/>
      <c r="R112" s="8"/>
      <c r="S112" s="8"/>
      <c r="T112" s="8"/>
      <c r="U112" s="8"/>
      <c r="V112" s="8"/>
      <c r="W112" s="8"/>
      <c r="X112" s="8"/>
      <c r="Y112" s="8"/>
      <c r="Z112" s="8"/>
    </row>
    <row r="113" spans="1:26" s="9" customFormat="1" ht="15.75">
      <c r="A113" s="33" t="s">
        <v>686</v>
      </c>
      <c r="B113" s="18">
        <v>3</v>
      </c>
      <c r="C113" s="18">
        <v>1</v>
      </c>
      <c r="D113" s="18">
        <v>0</v>
      </c>
      <c r="E113" s="273">
        <v>0</v>
      </c>
      <c r="F113" s="35">
        <v>2</v>
      </c>
      <c r="G113" s="35">
        <v>2</v>
      </c>
      <c r="H113" s="35">
        <v>5</v>
      </c>
      <c r="I113" s="35">
        <v>3</v>
      </c>
      <c r="J113" s="35">
        <v>1</v>
      </c>
      <c r="K113" s="35">
        <v>2</v>
      </c>
      <c r="L113" s="35">
        <v>5</v>
      </c>
      <c r="M113" s="35">
        <v>1</v>
      </c>
      <c r="N113" s="177">
        <f t="shared" ref="N113:N158" si="60">SUM(B113:M113)</f>
        <v>25</v>
      </c>
      <c r="O113" s="19">
        <f t="shared" ref="O113:O158" si="61">IF(N113=0,0,AVERAGE(B113:M113))</f>
        <v>2.0833333333333335</v>
      </c>
      <c r="P113" s="8"/>
      <c r="Q113" s="8"/>
      <c r="R113" s="8"/>
      <c r="S113" s="8"/>
      <c r="T113" s="8"/>
      <c r="U113" s="8"/>
      <c r="V113" s="8"/>
      <c r="W113" s="8"/>
      <c r="X113" s="8"/>
      <c r="Y113" s="8"/>
      <c r="Z113" s="8"/>
    </row>
    <row r="114" spans="1:26" s="9" customFormat="1" ht="15.75">
      <c r="A114" s="33" t="s">
        <v>298</v>
      </c>
      <c r="B114" s="18">
        <v>2</v>
      </c>
      <c r="C114" s="18">
        <v>0</v>
      </c>
      <c r="D114" s="18">
        <v>0</v>
      </c>
      <c r="E114" s="273">
        <v>0</v>
      </c>
      <c r="F114" s="35">
        <v>1</v>
      </c>
      <c r="G114" s="35">
        <v>1</v>
      </c>
      <c r="H114" s="35">
        <v>0</v>
      </c>
      <c r="I114" s="35">
        <v>2</v>
      </c>
      <c r="J114" s="35">
        <v>3</v>
      </c>
      <c r="K114" s="35">
        <v>1</v>
      </c>
      <c r="L114" s="35">
        <v>2</v>
      </c>
      <c r="M114" s="35">
        <v>0</v>
      </c>
      <c r="N114" s="177">
        <f t="shared" si="60"/>
        <v>12</v>
      </c>
      <c r="O114" s="19">
        <f t="shared" si="61"/>
        <v>1</v>
      </c>
      <c r="P114" s="8"/>
      <c r="Q114" s="8"/>
      <c r="R114" s="8"/>
      <c r="S114" s="8"/>
      <c r="T114" s="8"/>
      <c r="U114" s="8"/>
      <c r="V114" s="8"/>
      <c r="W114" s="8"/>
      <c r="X114" s="8"/>
      <c r="Y114" s="8"/>
      <c r="Z114" s="8"/>
    </row>
    <row r="115" spans="1:26" s="9" customFormat="1" ht="15.75">
      <c r="A115" s="33" t="s">
        <v>54</v>
      </c>
      <c r="B115" s="18">
        <v>2</v>
      </c>
      <c r="C115" s="18">
        <v>1</v>
      </c>
      <c r="D115" s="18">
        <v>2</v>
      </c>
      <c r="E115" s="273">
        <v>4</v>
      </c>
      <c r="F115" s="35">
        <v>5</v>
      </c>
      <c r="G115" s="35">
        <v>5</v>
      </c>
      <c r="H115" s="35">
        <v>2</v>
      </c>
      <c r="I115" s="35">
        <v>0</v>
      </c>
      <c r="J115" s="35">
        <v>5</v>
      </c>
      <c r="K115" s="35">
        <v>6</v>
      </c>
      <c r="L115" s="35">
        <v>6</v>
      </c>
      <c r="M115" s="35">
        <v>3</v>
      </c>
      <c r="N115" s="177">
        <f t="shared" si="60"/>
        <v>41</v>
      </c>
      <c r="O115" s="19">
        <f t="shared" si="61"/>
        <v>3.4166666666666665</v>
      </c>
      <c r="P115" s="8"/>
      <c r="Q115" s="8"/>
      <c r="R115" s="8"/>
      <c r="S115" s="8"/>
      <c r="T115" s="8"/>
      <c r="U115" s="8"/>
      <c r="V115" s="8"/>
      <c r="W115" s="8"/>
      <c r="X115" s="8"/>
      <c r="Y115" s="8"/>
      <c r="Z115" s="8"/>
    </row>
    <row r="116" spans="1:26" s="9" customFormat="1" ht="15.75">
      <c r="A116" s="33" t="s">
        <v>865</v>
      </c>
      <c r="B116" s="18">
        <v>0</v>
      </c>
      <c r="C116" s="18">
        <v>0</v>
      </c>
      <c r="D116" s="18">
        <v>0</v>
      </c>
      <c r="E116" s="273">
        <v>0</v>
      </c>
      <c r="F116" s="35">
        <v>0</v>
      </c>
      <c r="G116" s="35">
        <v>1</v>
      </c>
      <c r="H116" s="35">
        <v>0</v>
      </c>
      <c r="I116" s="35">
        <v>0</v>
      </c>
      <c r="J116" s="35">
        <v>0</v>
      </c>
      <c r="K116" s="35">
        <v>0</v>
      </c>
      <c r="L116" s="35">
        <v>0</v>
      </c>
      <c r="M116" s="35">
        <v>0</v>
      </c>
      <c r="N116" s="177">
        <f t="shared" si="60"/>
        <v>1</v>
      </c>
      <c r="O116" s="19">
        <f t="shared" si="61"/>
        <v>8.3333333333333329E-2</v>
      </c>
      <c r="P116" s="8"/>
      <c r="Q116" s="8"/>
      <c r="R116" s="8"/>
      <c r="S116" s="8"/>
      <c r="T116" s="8"/>
      <c r="U116" s="8"/>
      <c r="V116" s="8"/>
      <c r="W116" s="8"/>
      <c r="X116" s="8"/>
      <c r="Y116" s="8"/>
      <c r="Z116" s="8"/>
    </row>
    <row r="117" spans="1:26" s="9" customFormat="1" ht="15.75">
      <c r="A117" s="33" t="s">
        <v>576</v>
      </c>
      <c r="B117" s="18">
        <v>2</v>
      </c>
      <c r="C117" s="18">
        <v>0</v>
      </c>
      <c r="D117" s="18">
        <v>1</v>
      </c>
      <c r="E117" s="273">
        <v>0</v>
      </c>
      <c r="F117" s="35">
        <v>1</v>
      </c>
      <c r="G117" s="35">
        <v>0</v>
      </c>
      <c r="H117" s="35">
        <v>1</v>
      </c>
      <c r="I117" s="35">
        <v>0</v>
      </c>
      <c r="J117" s="35">
        <v>1</v>
      </c>
      <c r="K117" s="35">
        <v>0</v>
      </c>
      <c r="L117" s="35">
        <v>1</v>
      </c>
      <c r="M117" s="35">
        <v>1</v>
      </c>
      <c r="N117" s="177">
        <f t="shared" si="60"/>
        <v>8</v>
      </c>
      <c r="O117" s="19">
        <f t="shared" si="61"/>
        <v>0.66666666666666663</v>
      </c>
      <c r="P117" s="8"/>
      <c r="Q117" s="8"/>
      <c r="R117" s="8"/>
      <c r="S117" s="8"/>
      <c r="T117" s="8"/>
      <c r="U117" s="8"/>
      <c r="V117" s="8"/>
      <c r="W117" s="8"/>
      <c r="X117" s="8"/>
      <c r="Y117" s="8"/>
      <c r="Z117" s="8"/>
    </row>
    <row r="118" spans="1:26" s="9" customFormat="1" ht="15.75">
      <c r="A118" s="33" t="s">
        <v>820</v>
      </c>
      <c r="B118" s="18">
        <v>0</v>
      </c>
      <c r="C118" s="18">
        <v>1</v>
      </c>
      <c r="D118" s="18">
        <v>0</v>
      </c>
      <c r="E118" s="273">
        <v>0</v>
      </c>
      <c r="F118" s="35">
        <v>1</v>
      </c>
      <c r="G118" s="35">
        <v>1</v>
      </c>
      <c r="H118" s="35">
        <v>1</v>
      </c>
      <c r="I118" s="35">
        <v>0</v>
      </c>
      <c r="J118" s="35">
        <v>0</v>
      </c>
      <c r="K118" s="35">
        <v>1</v>
      </c>
      <c r="L118" s="35">
        <v>0</v>
      </c>
      <c r="M118" s="35">
        <v>1</v>
      </c>
      <c r="N118" s="177">
        <f t="shared" si="60"/>
        <v>6</v>
      </c>
      <c r="O118" s="19">
        <f t="shared" si="61"/>
        <v>0.5</v>
      </c>
      <c r="P118" s="8"/>
      <c r="Q118" s="8"/>
      <c r="R118" s="8"/>
      <c r="S118" s="8"/>
      <c r="T118" s="8"/>
      <c r="U118" s="8"/>
      <c r="V118" s="8"/>
      <c r="W118" s="8"/>
      <c r="X118" s="8"/>
      <c r="Y118" s="8"/>
      <c r="Z118" s="8"/>
    </row>
    <row r="119" spans="1:26" s="9" customFormat="1" ht="15.75">
      <c r="A119" s="33" t="s">
        <v>712</v>
      </c>
      <c r="B119" s="18">
        <v>1</v>
      </c>
      <c r="C119" s="18">
        <v>1</v>
      </c>
      <c r="D119" s="18">
        <v>1</v>
      </c>
      <c r="E119" s="273">
        <v>0</v>
      </c>
      <c r="F119" s="35">
        <v>2</v>
      </c>
      <c r="G119" s="35">
        <v>5</v>
      </c>
      <c r="H119" s="35">
        <v>4</v>
      </c>
      <c r="I119" s="35">
        <v>3</v>
      </c>
      <c r="J119" s="35">
        <v>3</v>
      </c>
      <c r="K119" s="35">
        <v>1</v>
      </c>
      <c r="L119" s="35">
        <v>4</v>
      </c>
      <c r="M119" s="35">
        <v>2</v>
      </c>
      <c r="N119" s="177">
        <f t="shared" si="60"/>
        <v>27</v>
      </c>
      <c r="O119" s="19">
        <f t="shared" si="61"/>
        <v>2.25</v>
      </c>
      <c r="P119" s="8"/>
      <c r="Q119" s="8"/>
      <c r="R119" s="8"/>
      <c r="S119" s="8"/>
      <c r="T119" s="8"/>
      <c r="U119" s="8"/>
      <c r="V119" s="8"/>
      <c r="W119" s="8"/>
      <c r="X119" s="8"/>
      <c r="Y119" s="8"/>
      <c r="Z119" s="8"/>
    </row>
    <row r="120" spans="1:26" s="9" customFormat="1" ht="15.75">
      <c r="A120" s="33" t="s">
        <v>724</v>
      </c>
      <c r="B120" s="18">
        <v>1</v>
      </c>
      <c r="C120" s="18">
        <v>0</v>
      </c>
      <c r="D120" s="18">
        <v>0</v>
      </c>
      <c r="E120" s="273">
        <v>0</v>
      </c>
      <c r="F120" s="35">
        <v>0</v>
      </c>
      <c r="G120" s="35">
        <v>0</v>
      </c>
      <c r="H120" s="35">
        <v>1</v>
      </c>
      <c r="I120" s="35">
        <v>0</v>
      </c>
      <c r="J120" s="35">
        <v>0</v>
      </c>
      <c r="K120" s="35">
        <v>0</v>
      </c>
      <c r="L120" s="35">
        <v>1</v>
      </c>
      <c r="M120" s="35">
        <v>1</v>
      </c>
      <c r="N120" s="177">
        <f t="shared" si="60"/>
        <v>4</v>
      </c>
      <c r="O120" s="19">
        <f t="shared" si="61"/>
        <v>0.33333333333333331</v>
      </c>
      <c r="P120" s="8"/>
      <c r="Q120" s="8"/>
      <c r="R120" s="8"/>
      <c r="S120" s="8"/>
      <c r="T120" s="8"/>
      <c r="U120" s="8"/>
      <c r="V120" s="8"/>
      <c r="W120" s="8"/>
      <c r="X120" s="8"/>
      <c r="Y120" s="8"/>
      <c r="Z120" s="8"/>
    </row>
    <row r="121" spans="1:26" s="9" customFormat="1" ht="15.75">
      <c r="A121" s="33" t="s">
        <v>821</v>
      </c>
      <c r="B121" s="18">
        <v>0</v>
      </c>
      <c r="C121" s="18">
        <v>1</v>
      </c>
      <c r="D121" s="18">
        <v>0</v>
      </c>
      <c r="E121" s="273">
        <v>2</v>
      </c>
      <c r="F121" s="35">
        <v>2</v>
      </c>
      <c r="G121" s="35">
        <v>1</v>
      </c>
      <c r="H121" s="35">
        <v>0</v>
      </c>
      <c r="I121" s="35">
        <v>1</v>
      </c>
      <c r="J121" s="35">
        <v>0</v>
      </c>
      <c r="K121" s="35">
        <v>1</v>
      </c>
      <c r="L121" s="35">
        <v>0</v>
      </c>
      <c r="M121" s="35">
        <v>1</v>
      </c>
      <c r="N121" s="177">
        <f t="shared" ref="N121:N127" si="62">SUM(B121:M121)</f>
        <v>9</v>
      </c>
      <c r="O121" s="19">
        <f t="shared" ref="O121:O127" si="63">IF(N121=0,0,AVERAGE(B121:M121))</f>
        <v>0.75</v>
      </c>
      <c r="P121" s="8"/>
      <c r="Q121" s="8"/>
      <c r="R121" s="8"/>
      <c r="S121" s="8"/>
      <c r="T121" s="8"/>
      <c r="U121" s="8"/>
      <c r="V121" s="8"/>
      <c r="W121" s="8"/>
      <c r="X121" s="8"/>
      <c r="Y121" s="8"/>
      <c r="Z121" s="8"/>
    </row>
    <row r="122" spans="1:26" s="9" customFormat="1" ht="15.75">
      <c r="A122" s="33" t="s">
        <v>822</v>
      </c>
      <c r="B122" s="18">
        <v>0</v>
      </c>
      <c r="C122" s="18">
        <v>2</v>
      </c>
      <c r="D122" s="18">
        <v>1</v>
      </c>
      <c r="E122" s="273">
        <v>0</v>
      </c>
      <c r="F122" s="35">
        <v>1</v>
      </c>
      <c r="G122" s="35">
        <v>3</v>
      </c>
      <c r="H122" s="35">
        <v>1</v>
      </c>
      <c r="I122" s="35">
        <v>0</v>
      </c>
      <c r="J122" s="35">
        <v>2</v>
      </c>
      <c r="K122" s="35">
        <v>1</v>
      </c>
      <c r="L122" s="35">
        <v>0</v>
      </c>
      <c r="M122" s="35">
        <v>0</v>
      </c>
      <c r="N122" s="177">
        <f t="shared" si="62"/>
        <v>11</v>
      </c>
      <c r="O122" s="19">
        <f t="shared" si="63"/>
        <v>0.91666666666666663</v>
      </c>
      <c r="P122" s="8"/>
      <c r="Q122" s="8"/>
      <c r="R122" s="8"/>
      <c r="S122" s="8"/>
      <c r="T122" s="8"/>
      <c r="U122" s="8"/>
      <c r="V122" s="8"/>
      <c r="W122" s="8"/>
      <c r="X122" s="8"/>
      <c r="Y122" s="8"/>
      <c r="Z122" s="8"/>
    </row>
    <row r="123" spans="1:26" s="9" customFormat="1" ht="15.75">
      <c r="A123" s="33" t="s">
        <v>303</v>
      </c>
      <c r="B123" s="18">
        <v>1</v>
      </c>
      <c r="C123" s="18">
        <v>0</v>
      </c>
      <c r="D123" s="18">
        <v>0</v>
      </c>
      <c r="E123" s="273">
        <v>0</v>
      </c>
      <c r="F123" s="35">
        <v>0</v>
      </c>
      <c r="G123" s="35">
        <v>0</v>
      </c>
      <c r="H123" s="289">
        <v>0</v>
      </c>
      <c r="I123" s="35">
        <v>0</v>
      </c>
      <c r="J123" s="35">
        <v>0</v>
      </c>
      <c r="K123" s="35">
        <v>1</v>
      </c>
      <c r="L123" s="35">
        <v>0</v>
      </c>
      <c r="M123" s="35">
        <v>1</v>
      </c>
      <c r="N123" s="177">
        <f t="shared" si="62"/>
        <v>3</v>
      </c>
      <c r="O123" s="19">
        <f t="shared" si="63"/>
        <v>0.25</v>
      </c>
      <c r="P123" s="8"/>
      <c r="Q123" s="8"/>
      <c r="R123" s="8"/>
      <c r="S123" s="8"/>
      <c r="T123" s="8"/>
      <c r="U123" s="8"/>
      <c r="V123" s="8"/>
      <c r="W123" s="8"/>
      <c r="X123" s="8"/>
      <c r="Y123" s="8"/>
      <c r="Z123" s="8"/>
    </row>
    <row r="124" spans="1:26" s="9" customFormat="1" ht="15.75">
      <c r="A124" s="33" t="s">
        <v>878</v>
      </c>
      <c r="B124" s="18">
        <v>0</v>
      </c>
      <c r="C124" s="18">
        <v>0</v>
      </c>
      <c r="D124" s="18">
        <v>0</v>
      </c>
      <c r="E124" s="273">
        <v>0</v>
      </c>
      <c r="F124" s="35">
        <v>0</v>
      </c>
      <c r="G124" s="35">
        <v>0</v>
      </c>
      <c r="H124" s="289">
        <v>0</v>
      </c>
      <c r="I124" s="35">
        <v>0</v>
      </c>
      <c r="J124" s="35">
        <v>1</v>
      </c>
      <c r="K124" s="35">
        <v>0</v>
      </c>
      <c r="L124" s="35">
        <v>0</v>
      </c>
      <c r="M124" s="35">
        <v>0</v>
      </c>
      <c r="N124" s="177">
        <f t="shared" si="62"/>
        <v>1</v>
      </c>
      <c r="O124" s="19">
        <f t="shared" si="63"/>
        <v>8.3333333333333329E-2</v>
      </c>
      <c r="P124" s="8"/>
      <c r="Q124" s="8"/>
      <c r="R124" s="8"/>
      <c r="S124" s="8"/>
      <c r="T124" s="8"/>
      <c r="U124" s="8"/>
      <c r="V124" s="8"/>
      <c r="W124" s="8"/>
      <c r="X124" s="8"/>
      <c r="Y124" s="8"/>
      <c r="Z124" s="8"/>
    </row>
    <row r="125" spans="1:26" s="9" customFormat="1" ht="15.75">
      <c r="A125" s="33" t="s">
        <v>858</v>
      </c>
      <c r="B125" s="18">
        <v>0</v>
      </c>
      <c r="C125" s="18">
        <v>0</v>
      </c>
      <c r="D125" s="18">
        <v>0</v>
      </c>
      <c r="E125" s="273">
        <v>0</v>
      </c>
      <c r="F125" s="35">
        <v>1</v>
      </c>
      <c r="G125" s="35">
        <v>0</v>
      </c>
      <c r="H125" s="289">
        <v>1</v>
      </c>
      <c r="I125" s="35">
        <v>0</v>
      </c>
      <c r="J125" s="35">
        <v>0</v>
      </c>
      <c r="K125" s="35">
        <v>0</v>
      </c>
      <c r="L125" s="35">
        <v>1</v>
      </c>
      <c r="M125" s="35">
        <v>1</v>
      </c>
      <c r="N125" s="177">
        <f t="shared" si="62"/>
        <v>4</v>
      </c>
      <c r="O125" s="19">
        <f t="shared" si="63"/>
        <v>0.33333333333333331</v>
      </c>
      <c r="P125" s="8"/>
      <c r="Q125" s="8"/>
      <c r="R125" s="8"/>
      <c r="S125" s="8"/>
      <c r="T125" s="8"/>
      <c r="U125" s="8"/>
      <c r="V125" s="8"/>
      <c r="W125" s="8"/>
      <c r="X125" s="8"/>
      <c r="Y125" s="8"/>
      <c r="Z125" s="8"/>
    </row>
    <row r="126" spans="1:26" s="9" customFormat="1" ht="15.75">
      <c r="A126" s="33" t="s">
        <v>823</v>
      </c>
      <c r="B126" s="18">
        <v>0</v>
      </c>
      <c r="C126" s="18">
        <v>3</v>
      </c>
      <c r="D126" s="18">
        <v>0</v>
      </c>
      <c r="E126" s="273">
        <v>1</v>
      </c>
      <c r="F126" s="35">
        <v>2</v>
      </c>
      <c r="G126" s="35">
        <v>2</v>
      </c>
      <c r="H126" s="289">
        <v>0</v>
      </c>
      <c r="I126" s="35">
        <v>0</v>
      </c>
      <c r="J126" s="35">
        <v>0</v>
      </c>
      <c r="K126" s="35">
        <v>0</v>
      </c>
      <c r="L126" s="35">
        <v>0</v>
      </c>
      <c r="M126" s="35">
        <v>0</v>
      </c>
      <c r="N126" s="177">
        <f t="shared" si="62"/>
        <v>8</v>
      </c>
      <c r="O126" s="19">
        <f t="shared" si="63"/>
        <v>0.66666666666666663</v>
      </c>
      <c r="P126" s="8"/>
      <c r="Q126" s="8"/>
      <c r="R126" s="8"/>
      <c r="S126" s="8"/>
      <c r="T126" s="8"/>
      <c r="U126" s="8"/>
      <c r="V126" s="8"/>
      <c r="W126" s="8"/>
      <c r="X126" s="8"/>
      <c r="Y126" s="8"/>
      <c r="Z126" s="8"/>
    </row>
    <row r="127" spans="1:26" s="9" customFormat="1" ht="15.75">
      <c r="A127" s="33" t="s">
        <v>717</v>
      </c>
      <c r="B127" s="18">
        <v>1</v>
      </c>
      <c r="C127" s="18">
        <v>0</v>
      </c>
      <c r="D127" s="18">
        <v>0</v>
      </c>
      <c r="E127" s="273">
        <v>0</v>
      </c>
      <c r="F127" s="35">
        <v>1</v>
      </c>
      <c r="G127" s="35">
        <v>1</v>
      </c>
      <c r="H127" s="289">
        <v>1</v>
      </c>
      <c r="I127" s="35">
        <v>0</v>
      </c>
      <c r="J127" s="35">
        <v>0</v>
      </c>
      <c r="K127" s="35">
        <v>1</v>
      </c>
      <c r="L127" s="35">
        <v>0</v>
      </c>
      <c r="M127" s="35">
        <v>1</v>
      </c>
      <c r="N127" s="177">
        <f t="shared" si="62"/>
        <v>6</v>
      </c>
      <c r="O127" s="19">
        <f t="shared" si="63"/>
        <v>0.5</v>
      </c>
      <c r="P127" s="8"/>
      <c r="Q127" s="8"/>
      <c r="R127" s="8"/>
      <c r="S127" s="8"/>
      <c r="T127" s="8"/>
      <c r="U127" s="8"/>
      <c r="V127" s="8"/>
      <c r="W127" s="8"/>
      <c r="X127" s="8"/>
      <c r="Y127" s="8"/>
      <c r="Z127" s="8"/>
    </row>
    <row r="128" spans="1:26" s="9" customFormat="1" ht="15.75">
      <c r="A128" s="33" t="s">
        <v>55</v>
      </c>
      <c r="B128" s="18">
        <v>5</v>
      </c>
      <c r="C128" s="18">
        <v>3</v>
      </c>
      <c r="D128" s="18">
        <v>1</v>
      </c>
      <c r="E128" s="273">
        <v>0</v>
      </c>
      <c r="F128" s="35">
        <v>3</v>
      </c>
      <c r="G128" s="35">
        <v>1</v>
      </c>
      <c r="H128" s="289">
        <v>2</v>
      </c>
      <c r="I128" s="35">
        <v>1</v>
      </c>
      <c r="J128" s="35">
        <v>2</v>
      </c>
      <c r="K128" s="35">
        <v>4</v>
      </c>
      <c r="L128" s="35">
        <v>0</v>
      </c>
      <c r="M128" s="35">
        <v>1</v>
      </c>
      <c r="N128" s="177">
        <f t="shared" si="60"/>
        <v>23</v>
      </c>
      <c r="O128" s="19">
        <f t="shared" si="61"/>
        <v>1.9166666666666667</v>
      </c>
      <c r="P128" s="8"/>
      <c r="Q128" s="8"/>
      <c r="R128" s="8"/>
      <c r="S128" s="8"/>
      <c r="T128" s="8"/>
      <c r="U128" s="8"/>
      <c r="V128" s="8"/>
      <c r="W128" s="8"/>
      <c r="X128" s="8"/>
      <c r="Y128" s="8"/>
      <c r="Z128" s="8"/>
    </row>
    <row r="129" spans="1:26" s="9" customFormat="1" ht="15.75">
      <c r="A129" s="33" t="s">
        <v>694</v>
      </c>
      <c r="B129" s="18">
        <v>1</v>
      </c>
      <c r="C129" s="18">
        <v>2</v>
      </c>
      <c r="D129" s="18">
        <v>1</v>
      </c>
      <c r="E129" s="273">
        <v>3</v>
      </c>
      <c r="F129" s="35">
        <v>0</v>
      </c>
      <c r="G129" s="35">
        <v>0</v>
      </c>
      <c r="H129" s="289">
        <v>4</v>
      </c>
      <c r="I129" s="35">
        <v>4</v>
      </c>
      <c r="J129" s="35">
        <v>1</v>
      </c>
      <c r="K129" s="35">
        <v>0</v>
      </c>
      <c r="L129" s="35">
        <v>0</v>
      </c>
      <c r="M129" s="35">
        <v>0</v>
      </c>
      <c r="N129" s="177">
        <f t="shared" si="60"/>
        <v>16</v>
      </c>
      <c r="O129" s="19">
        <f t="shared" si="61"/>
        <v>1.3333333333333333</v>
      </c>
      <c r="P129" s="8"/>
      <c r="Q129" s="8"/>
      <c r="R129" s="8"/>
      <c r="S129" s="8"/>
      <c r="T129" s="8"/>
      <c r="U129" s="8"/>
      <c r="V129" s="8"/>
      <c r="W129" s="8"/>
      <c r="X129" s="8"/>
      <c r="Y129" s="8"/>
      <c r="Z129" s="8"/>
    </row>
    <row r="130" spans="1:26" s="9" customFormat="1" ht="15.75">
      <c r="A130" s="33" t="s">
        <v>824</v>
      </c>
      <c r="B130" s="18">
        <v>0</v>
      </c>
      <c r="C130" s="18">
        <v>1</v>
      </c>
      <c r="D130" s="18">
        <v>0</v>
      </c>
      <c r="E130" s="273">
        <v>0</v>
      </c>
      <c r="F130" s="35">
        <v>0</v>
      </c>
      <c r="G130" s="35">
        <v>0</v>
      </c>
      <c r="H130" s="289">
        <v>1</v>
      </c>
      <c r="I130" s="35">
        <v>1</v>
      </c>
      <c r="J130" s="35">
        <v>2</v>
      </c>
      <c r="K130" s="35">
        <v>1</v>
      </c>
      <c r="L130" s="35">
        <v>2</v>
      </c>
      <c r="M130" s="35">
        <v>5</v>
      </c>
      <c r="N130" s="177">
        <f t="shared" si="60"/>
        <v>13</v>
      </c>
      <c r="O130" s="19">
        <f t="shared" si="61"/>
        <v>1.0833333333333333</v>
      </c>
      <c r="P130" s="8"/>
      <c r="Q130" s="8"/>
      <c r="R130" s="8"/>
      <c r="S130" s="8"/>
      <c r="T130" s="8"/>
      <c r="U130" s="8"/>
      <c r="V130" s="8"/>
      <c r="W130" s="8"/>
      <c r="X130" s="8"/>
      <c r="Y130" s="8"/>
      <c r="Z130" s="8"/>
    </row>
    <row r="131" spans="1:26" s="9" customFormat="1" ht="15.75">
      <c r="A131" s="33" t="s">
        <v>687</v>
      </c>
      <c r="B131" s="18">
        <v>1</v>
      </c>
      <c r="C131" s="18">
        <v>1</v>
      </c>
      <c r="D131" s="18">
        <v>1</v>
      </c>
      <c r="E131" s="273">
        <v>0</v>
      </c>
      <c r="F131" s="35">
        <v>0</v>
      </c>
      <c r="G131" s="35">
        <v>0</v>
      </c>
      <c r="H131" s="289">
        <v>0</v>
      </c>
      <c r="I131" s="35">
        <v>0</v>
      </c>
      <c r="J131" s="35">
        <v>2</v>
      </c>
      <c r="K131" s="35">
        <v>0</v>
      </c>
      <c r="L131" s="35">
        <v>0</v>
      </c>
      <c r="M131" s="35">
        <v>1</v>
      </c>
      <c r="N131" s="177">
        <f t="shared" ref="N131:N136" si="64">SUM(B131:M131)</f>
        <v>6</v>
      </c>
      <c r="O131" s="19">
        <f t="shared" ref="O131:O136" si="65">IF(N131=0,0,AVERAGE(B131:M131))</f>
        <v>0.5</v>
      </c>
      <c r="P131" s="8"/>
      <c r="Q131" s="8"/>
      <c r="R131" s="8"/>
      <c r="S131" s="8"/>
      <c r="T131" s="8"/>
      <c r="U131" s="8"/>
      <c r="V131" s="8"/>
      <c r="W131" s="8"/>
      <c r="X131" s="8"/>
      <c r="Y131" s="8"/>
      <c r="Z131" s="8"/>
    </row>
    <row r="132" spans="1:26" s="9" customFormat="1" ht="15.75">
      <c r="A132" s="33" t="s">
        <v>868</v>
      </c>
      <c r="B132" s="18">
        <v>0</v>
      </c>
      <c r="C132" s="18">
        <v>0</v>
      </c>
      <c r="D132" s="18">
        <v>0</v>
      </c>
      <c r="E132" s="273">
        <v>0</v>
      </c>
      <c r="F132" s="35">
        <v>0</v>
      </c>
      <c r="G132" s="35">
        <v>0</v>
      </c>
      <c r="H132" s="289">
        <v>2</v>
      </c>
      <c r="I132" s="35">
        <v>1</v>
      </c>
      <c r="J132" s="35">
        <v>2</v>
      </c>
      <c r="K132" s="35">
        <v>0</v>
      </c>
      <c r="L132" s="35">
        <v>0</v>
      </c>
      <c r="M132" s="35">
        <v>1</v>
      </c>
      <c r="N132" s="177">
        <f t="shared" si="64"/>
        <v>6</v>
      </c>
      <c r="O132" s="19">
        <f t="shared" si="65"/>
        <v>0.5</v>
      </c>
      <c r="P132" s="8"/>
      <c r="Q132" s="8"/>
      <c r="R132" s="8"/>
      <c r="S132" s="8"/>
      <c r="T132" s="8"/>
      <c r="U132" s="8"/>
      <c r="V132" s="8"/>
      <c r="W132" s="8"/>
      <c r="X132" s="8"/>
      <c r="Y132" s="8"/>
      <c r="Z132" s="8"/>
    </row>
    <row r="133" spans="1:26" s="9" customFormat="1" ht="15.75">
      <c r="A133" s="33" t="s">
        <v>859</v>
      </c>
      <c r="B133" s="18">
        <v>0</v>
      </c>
      <c r="C133" s="18">
        <v>0</v>
      </c>
      <c r="D133" s="18">
        <v>0</v>
      </c>
      <c r="E133" s="273">
        <v>0</v>
      </c>
      <c r="F133" s="35">
        <v>1</v>
      </c>
      <c r="G133" s="35">
        <v>1</v>
      </c>
      <c r="H133" s="289">
        <v>0</v>
      </c>
      <c r="I133" s="35">
        <v>0</v>
      </c>
      <c r="J133" s="35">
        <v>0</v>
      </c>
      <c r="K133" s="35">
        <v>0</v>
      </c>
      <c r="L133" s="35">
        <v>0</v>
      </c>
      <c r="M133" s="35">
        <v>0</v>
      </c>
      <c r="N133" s="177">
        <f t="shared" si="64"/>
        <v>2</v>
      </c>
      <c r="O133" s="19">
        <f t="shared" si="65"/>
        <v>0.16666666666666666</v>
      </c>
      <c r="P133" s="8"/>
      <c r="Q133" s="8"/>
      <c r="R133" s="8"/>
      <c r="S133" s="8"/>
      <c r="T133" s="8"/>
      <c r="U133" s="8"/>
      <c r="V133" s="8"/>
      <c r="W133" s="8"/>
      <c r="X133" s="8"/>
      <c r="Y133" s="8"/>
      <c r="Z133" s="8"/>
    </row>
    <row r="134" spans="1:26" s="9" customFormat="1" ht="15.75">
      <c r="A134" s="33" t="s">
        <v>845</v>
      </c>
      <c r="B134" s="18">
        <v>0</v>
      </c>
      <c r="C134" s="18">
        <v>0</v>
      </c>
      <c r="D134" s="18">
        <v>1</v>
      </c>
      <c r="E134" s="273">
        <v>1</v>
      </c>
      <c r="F134" s="35">
        <v>0</v>
      </c>
      <c r="G134" s="35">
        <v>0</v>
      </c>
      <c r="H134" s="289">
        <v>1</v>
      </c>
      <c r="I134" s="35">
        <v>0</v>
      </c>
      <c r="J134" s="35">
        <v>0</v>
      </c>
      <c r="K134" s="35">
        <v>1</v>
      </c>
      <c r="L134" s="35">
        <v>0</v>
      </c>
      <c r="M134" s="35">
        <v>0</v>
      </c>
      <c r="N134" s="177">
        <f t="shared" si="64"/>
        <v>4</v>
      </c>
      <c r="O134" s="19">
        <f t="shared" si="65"/>
        <v>0.33333333333333331</v>
      </c>
      <c r="P134" s="8"/>
      <c r="Q134" s="8"/>
      <c r="R134" s="8"/>
      <c r="S134" s="8"/>
      <c r="T134" s="8"/>
      <c r="U134" s="8"/>
      <c r="V134" s="8"/>
      <c r="W134" s="8"/>
      <c r="X134" s="8"/>
      <c r="Y134" s="8"/>
      <c r="Z134" s="8"/>
    </row>
    <row r="135" spans="1:26" s="9" customFormat="1" ht="15.75">
      <c r="A135" s="33" t="s">
        <v>860</v>
      </c>
      <c r="B135" s="18">
        <v>0</v>
      </c>
      <c r="C135" s="18">
        <v>0</v>
      </c>
      <c r="D135" s="18">
        <v>0</v>
      </c>
      <c r="E135" s="273">
        <v>0</v>
      </c>
      <c r="F135" s="35">
        <v>3</v>
      </c>
      <c r="G135" s="35">
        <v>1</v>
      </c>
      <c r="H135" s="289">
        <v>1</v>
      </c>
      <c r="I135" s="35">
        <v>2</v>
      </c>
      <c r="J135" s="35">
        <v>1</v>
      </c>
      <c r="K135" s="35">
        <v>0</v>
      </c>
      <c r="L135" s="35">
        <v>1</v>
      </c>
      <c r="M135" s="35">
        <v>1</v>
      </c>
      <c r="N135" s="177">
        <f t="shared" si="64"/>
        <v>10</v>
      </c>
      <c r="O135" s="19">
        <f t="shared" si="65"/>
        <v>0.83333333333333337</v>
      </c>
      <c r="P135" s="8"/>
      <c r="Q135" s="8"/>
      <c r="R135" s="8"/>
      <c r="S135" s="8"/>
      <c r="T135" s="8"/>
      <c r="U135" s="8"/>
      <c r="V135" s="8"/>
      <c r="W135" s="8"/>
      <c r="X135" s="8"/>
      <c r="Y135" s="8"/>
      <c r="Z135" s="8"/>
    </row>
    <row r="136" spans="1:26" s="9" customFormat="1" ht="15.75">
      <c r="A136" s="33" t="s">
        <v>825</v>
      </c>
      <c r="B136" s="18">
        <v>0</v>
      </c>
      <c r="C136" s="18">
        <v>1</v>
      </c>
      <c r="D136" s="18">
        <v>0</v>
      </c>
      <c r="E136" s="273">
        <v>0</v>
      </c>
      <c r="F136" s="35">
        <v>0</v>
      </c>
      <c r="G136" s="35">
        <v>0</v>
      </c>
      <c r="H136" s="289">
        <v>0</v>
      </c>
      <c r="I136" s="35">
        <v>0</v>
      </c>
      <c r="J136" s="35">
        <v>0</v>
      </c>
      <c r="K136" s="35">
        <v>1</v>
      </c>
      <c r="L136" s="35">
        <v>0</v>
      </c>
      <c r="M136" s="35">
        <v>0</v>
      </c>
      <c r="N136" s="177">
        <f t="shared" si="64"/>
        <v>2</v>
      </c>
      <c r="O136" s="19">
        <f t="shared" si="65"/>
        <v>0.16666666666666666</v>
      </c>
      <c r="P136" s="8"/>
      <c r="Q136" s="8"/>
      <c r="R136" s="8"/>
      <c r="S136" s="8"/>
      <c r="T136" s="8"/>
      <c r="U136" s="8"/>
      <c r="V136" s="8"/>
      <c r="W136" s="8"/>
      <c r="X136" s="8"/>
      <c r="Y136" s="8"/>
      <c r="Z136" s="8"/>
    </row>
    <row r="137" spans="1:26" s="9" customFormat="1" ht="15.75">
      <c r="A137" s="33" t="s">
        <v>56</v>
      </c>
      <c r="B137" s="18">
        <v>1</v>
      </c>
      <c r="C137" s="18">
        <v>0</v>
      </c>
      <c r="D137" s="18">
        <v>0</v>
      </c>
      <c r="E137" s="273">
        <v>0</v>
      </c>
      <c r="F137" s="35">
        <v>3</v>
      </c>
      <c r="G137" s="35">
        <v>1</v>
      </c>
      <c r="H137" s="289">
        <v>2</v>
      </c>
      <c r="I137" s="35">
        <v>1</v>
      </c>
      <c r="J137" s="35">
        <v>1</v>
      </c>
      <c r="K137" s="35">
        <v>1</v>
      </c>
      <c r="L137" s="35">
        <v>0</v>
      </c>
      <c r="M137" s="35">
        <v>2</v>
      </c>
      <c r="N137" s="177">
        <f t="shared" si="60"/>
        <v>12</v>
      </c>
      <c r="O137" s="19">
        <f t="shared" si="61"/>
        <v>1</v>
      </c>
      <c r="P137" s="8"/>
      <c r="Q137" s="8"/>
      <c r="R137" s="8"/>
      <c r="S137" s="8"/>
      <c r="T137" s="8"/>
      <c r="U137" s="8"/>
      <c r="V137" s="8"/>
      <c r="W137" s="8"/>
      <c r="X137" s="8"/>
      <c r="Y137" s="8"/>
      <c r="Z137" s="8"/>
    </row>
    <row r="138" spans="1:26" s="9" customFormat="1" ht="15.75">
      <c r="A138" s="33" t="s">
        <v>846</v>
      </c>
      <c r="B138" s="18">
        <v>0</v>
      </c>
      <c r="C138" s="18">
        <v>0</v>
      </c>
      <c r="D138" s="18">
        <v>1</v>
      </c>
      <c r="E138" s="273">
        <v>0</v>
      </c>
      <c r="F138" s="35">
        <v>0</v>
      </c>
      <c r="G138" s="35">
        <v>1</v>
      </c>
      <c r="H138" s="289">
        <v>0</v>
      </c>
      <c r="I138" s="35">
        <v>2</v>
      </c>
      <c r="J138" s="35">
        <v>1</v>
      </c>
      <c r="K138" s="35">
        <v>0</v>
      </c>
      <c r="L138" s="35">
        <v>0</v>
      </c>
      <c r="M138" s="35">
        <v>0</v>
      </c>
      <c r="N138" s="177">
        <f t="shared" si="60"/>
        <v>5</v>
      </c>
      <c r="O138" s="19">
        <f t="shared" si="61"/>
        <v>0.41666666666666669</v>
      </c>
      <c r="P138" s="8"/>
      <c r="Q138" s="8"/>
      <c r="R138" s="8"/>
      <c r="S138" s="8"/>
      <c r="T138" s="8"/>
      <c r="U138" s="8"/>
      <c r="V138" s="8"/>
      <c r="W138" s="8"/>
      <c r="X138" s="8"/>
      <c r="Y138" s="8"/>
      <c r="Z138" s="8"/>
    </row>
    <row r="139" spans="1:26" s="9" customFormat="1" ht="15.75">
      <c r="A139" s="33" t="s">
        <v>861</v>
      </c>
      <c r="B139" s="18">
        <v>0</v>
      </c>
      <c r="C139" s="18">
        <v>0</v>
      </c>
      <c r="D139" s="18">
        <v>0</v>
      </c>
      <c r="E139" s="273">
        <v>0</v>
      </c>
      <c r="F139" s="35">
        <v>2</v>
      </c>
      <c r="G139" s="35">
        <v>3</v>
      </c>
      <c r="H139" s="289">
        <v>1</v>
      </c>
      <c r="I139" s="35">
        <v>3</v>
      </c>
      <c r="J139" s="35">
        <v>2</v>
      </c>
      <c r="K139" s="35">
        <v>0</v>
      </c>
      <c r="L139" s="35">
        <v>0</v>
      </c>
      <c r="M139" s="35">
        <v>1</v>
      </c>
      <c r="N139" s="177">
        <f t="shared" si="60"/>
        <v>12</v>
      </c>
      <c r="O139" s="19">
        <f t="shared" si="61"/>
        <v>1</v>
      </c>
      <c r="P139" s="8"/>
      <c r="Q139" s="8"/>
      <c r="R139" s="8"/>
      <c r="S139" s="8"/>
      <c r="T139" s="8"/>
      <c r="U139" s="8"/>
      <c r="V139" s="8"/>
      <c r="W139" s="8"/>
      <c r="X139" s="8"/>
      <c r="Y139" s="8"/>
      <c r="Z139" s="8"/>
    </row>
    <row r="140" spans="1:26" s="9" customFormat="1" ht="15.75">
      <c r="A140" s="33" t="s">
        <v>882</v>
      </c>
      <c r="B140" s="18">
        <v>0</v>
      </c>
      <c r="C140" s="18">
        <v>0</v>
      </c>
      <c r="D140" s="18">
        <v>0</v>
      </c>
      <c r="E140" s="273">
        <v>0</v>
      </c>
      <c r="F140" s="35">
        <v>0</v>
      </c>
      <c r="G140" s="35">
        <v>0</v>
      </c>
      <c r="H140" s="289">
        <v>0</v>
      </c>
      <c r="I140" s="35">
        <v>0</v>
      </c>
      <c r="J140" s="35">
        <v>0</v>
      </c>
      <c r="K140" s="35">
        <v>0</v>
      </c>
      <c r="L140" s="35">
        <v>1</v>
      </c>
      <c r="M140" s="35">
        <v>1</v>
      </c>
      <c r="N140" s="177">
        <f t="shared" si="60"/>
        <v>2</v>
      </c>
      <c r="O140" s="19">
        <f t="shared" si="61"/>
        <v>0.16666666666666666</v>
      </c>
      <c r="P140" s="8"/>
      <c r="Q140" s="8"/>
      <c r="R140" s="8"/>
      <c r="S140" s="8"/>
      <c r="T140" s="8"/>
      <c r="U140" s="8"/>
      <c r="V140" s="8"/>
      <c r="W140" s="8"/>
      <c r="X140" s="8"/>
      <c r="Y140" s="8"/>
      <c r="Z140" s="8"/>
    </row>
    <row r="141" spans="1:26" s="9" customFormat="1" ht="15.75">
      <c r="A141" s="33" t="s">
        <v>852</v>
      </c>
      <c r="B141" s="18">
        <v>0</v>
      </c>
      <c r="C141" s="18">
        <v>0</v>
      </c>
      <c r="D141" s="18">
        <v>0</v>
      </c>
      <c r="E141" s="273">
        <v>1</v>
      </c>
      <c r="F141" s="35">
        <v>3</v>
      </c>
      <c r="G141" s="35">
        <v>0</v>
      </c>
      <c r="H141" s="289">
        <v>2</v>
      </c>
      <c r="I141" s="35">
        <v>0</v>
      </c>
      <c r="J141" s="35">
        <v>0</v>
      </c>
      <c r="K141" s="35">
        <v>0</v>
      </c>
      <c r="L141" s="35">
        <v>0</v>
      </c>
      <c r="M141" s="35">
        <v>2</v>
      </c>
      <c r="N141" s="177">
        <f t="shared" si="60"/>
        <v>8</v>
      </c>
      <c r="O141" s="19">
        <f t="shared" si="61"/>
        <v>0.66666666666666663</v>
      </c>
      <c r="P141" s="8"/>
      <c r="Q141" s="8"/>
      <c r="R141" s="8"/>
      <c r="S141" s="8"/>
      <c r="T141" s="8"/>
      <c r="U141" s="8"/>
      <c r="V141" s="8"/>
      <c r="W141" s="8"/>
      <c r="X141" s="8"/>
      <c r="Y141" s="8"/>
      <c r="Z141" s="8"/>
    </row>
    <row r="142" spans="1:26" s="9" customFormat="1" ht="15.75">
      <c r="A142" s="33" t="s">
        <v>57</v>
      </c>
      <c r="B142" s="18">
        <v>8</v>
      </c>
      <c r="C142" s="18">
        <v>5</v>
      </c>
      <c r="D142" s="18">
        <v>5</v>
      </c>
      <c r="E142" s="273">
        <v>2</v>
      </c>
      <c r="F142" s="35">
        <v>1</v>
      </c>
      <c r="G142" s="35">
        <v>0</v>
      </c>
      <c r="H142" s="289">
        <v>6</v>
      </c>
      <c r="I142" s="35">
        <v>1</v>
      </c>
      <c r="J142" s="35">
        <v>2</v>
      </c>
      <c r="K142" s="35">
        <v>0</v>
      </c>
      <c r="L142" s="35">
        <v>5</v>
      </c>
      <c r="M142" s="35">
        <v>2</v>
      </c>
      <c r="N142" s="177">
        <f t="shared" si="60"/>
        <v>37</v>
      </c>
      <c r="O142" s="19">
        <f t="shared" si="61"/>
        <v>3.0833333333333335</v>
      </c>
      <c r="P142" s="8"/>
      <c r="Q142" s="8"/>
      <c r="R142" s="8"/>
      <c r="S142" s="8"/>
      <c r="T142" s="8"/>
      <c r="U142" s="8"/>
      <c r="V142" s="8"/>
      <c r="W142" s="8"/>
      <c r="X142" s="8"/>
      <c r="Y142" s="8"/>
      <c r="Z142" s="8"/>
    </row>
    <row r="143" spans="1:26" s="9" customFormat="1" ht="15.75">
      <c r="A143" s="33" t="s">
        <v>725</v>
      </c>
      <c r="B143" s="18">
        <v>1</v>
      </c>
      <c r="C143" s="18">
        <v>0</v>
      </c>
      <c r="D143" s="18">
        <v>0</v>
      </c>
      <c r="E143" s="273">
        <v>0</v>
      </c>
      <c r="F143" s="35">
        <v>0</v>
      </c>
      <c r="G143" s="35">
        <v>0</v>
      </c>
      <c r="H143" s="289">
        <v>0</v>
      </c>
      <c r="I143" s="35">
        <v>0</v>
      </c>
      <c r="J143" s="35">
        <v>0</v>
      </c>
      <c r="K143" s="35">
        <v>0</v>
      </c>
      <c r="L143" s="35">
        <v>0</v>
      </c>
      <c r="M143" s="35">
        <v>1</v>
      </c>
      <c r="N143" s="177">
        <f t="shared" si="60"/>
        <v>2</v>
      </c>
      <c r="O143" s="19">
        <f t="shared" si="61"/>
        <v>0.16666666666666666</v>
      </c>
      <c r="P143" s="8"/>
      <c r="Q143" s="8"/>
      <c r="R143" s="8"/>
      <c r="S143" s="8"/>
      <c r="T143" s="8"/>
      <c r="U143" s="8"/>
      <c r="V143" s="8"/>
      <c r="W143" s="8"/>
      <c r="X143" s="8"/>
      <c r="Y143" s="8"/>
      <c r="Z143" s="8"/>
    </row>
    <row r="144" spans="1:26" s="9" customFormat="1" ht="15.75">
      <c r="A144" s="33" t="s">
        <v>874</v>
      </c>
      <c r="B144" s="18">
        <v>0</v>
      </c>
      <c r="C144" s="18">
        <v>0</v>
      </c>
      <c r="D144" s="18">
        <v>0</v>
      </c>
      <c r="E144" s="273">
        <v>0</v>
      </c>
      <c r="F144" s="35">
        <v>0</v>
      </c>
      <c r="G144" s="35">
        <v>0</v>
      </c>
      <c r="H144" s="289">
        <v>0</v>
      </c>
      <c r="I144" s="35">
        <v>1</v>
      </c>
      <c r="J144" s="35">
        <v>0</v>
      </c>
      <c r="K144" s="35">
        <v>0</v>
      </c>
      <c r="L144" s="35">
        <v>0</v>
      </c>
      <c r="M144" s="35">
        <v>0</v>
      </c>
      <c r="N144" s="177">
        <f t="shared" si="60"/>
        <v>1</v>
      </c>
      <c r="O144" s="19">
        <f t="shared" si="61"/>
        <v>8.3333333333333329E-2</v>
      </c>
      <c r="P144" s="8"/>
      <c r="Q144" s="8"/>
      <c r="R144" s="8"/>
      <c r="S144" s="8"/>
      <c r="T144" s="8"/>
      <c r="U144" s="8"/>
      <c r="V144" s="8"/>
      <c r="W144" s="8"/>
      <c r="X144" s="8"/>
      <c r="Y144" s="8"/>
      <c r="Z144" s="8"/>
    </row>
    <row r="145" spans="1:26" s="9" customFormat="1" ht="15.75">
      <c r="A145" s="33" t="s">
        <v>853</v>
      </c>
      <c r="B145" s="18">
        <v>0</v>
      </c>
      <c r="C145" s="18">
        <v>0</v>
      </c>
      <c r="D145" s="18">
        <v>0</v>
      </c>
      <c r="E145" s="273">
        <v>1</v>
      </c>
      <c r="F145" s="35">
        <v>3</v>
      </c>
      <c r="G145" s="35">
        <v>0</v>
      </c>
      <c r="H145" s="289">
        <v>1</v>
      </c>
      <c r="I145" s="35">
        <v>2</v>
      </c>
      <c r="J145" s="35">
        <v>0</v>
      </c>
      <c r="K145" s="35">
        <v>0</v>
      </c>
      <c r="L145" s="35">
        <v>2</v>
      </c>
      <c r="M145" s="35">
        <v>1</v>
      </c>
      <c r="N145" s="177">
        <f t="shared" si="60"/>
        <v>10</v>
      </c>
      <c r="O145" s="19">
        <f t="shared" si="61"/>
        <v>0.83333333333333337</v>
      </c>
      <c r="P145" s="8"/>
      <c r="Q145" s="8"/>
      <c r="R145" s="8"/>
      <c r="S145" s="8"/>
      <c r="T145" s="8"/>
      <c r="U145" s="8"/>
      <c r="V145" s="8"/>
      <c r="W145" s="8"/>
      <c r="X145" s="8"/>
      <c r="Y145" s="8"/>
      <c r="Z145" s="8"/>
    </row>
    <row r="146" spans="1:26" s="9" customFormat="1" ht="15.75">
      <c r="A146" s="33" t="s">
        <v>295</v>
      </c>
      <c r="B146" s="18">
        <v>2</v>
      </c>
      <c r="C146" s="18">
        <v>1</v>
      </c>
      <c r="D146" s="18">
        <v>2</v>
      </c>
      <c r="E146" s="273">
        <v>1</v>
      </c>
      <c r="F146" s="35">
        <v>2</v>
      </c>
      <c r="G146" s="35">
        <v>1</v>
      </c>
      <c r="H146" s="289">
        <v>5</v>
      </c>
      <c r="I146" s="35">
        <v>1</v>
      </c>
      <c r="J146" s="35">
        <v>0</v>
      </c>
      <c r="K146" s="35">
        <v>2</v>
      </c>
      <c r="L146" s="35">
        <v>4</v>
      </c>
      <c r="M146" s="35">
        <v>1</v>
      </c>
      <c r="N146" s="177">
        <f t="shared" si="60"/>
        <v>22</v>
      </c>
      <c r="O146" s="19">
        <f t="shared" si="61"/>
        <v>1.8333333333333333</v>
      </c>
      <c r="P146" s="8"/>
      <c r="Q146" s="8"/>
      <c r="R146" s="8"/>
      <c r="S146" s="8"/>
      <c r="T146" s="8"/>
      <c r="U146" s="8"/>
      <c r="V146" s="8"/>
      <c r="W146" s="8"/>
      <c r="X146" s="8"/>
      <c r="Y146" s="8"/>
      <c r="Z146" s="8"/>
    </row>
    <row r="147" spans="1:26" s="9" customFormat="1" ht="15.75">
      <c r="A147" s="33" t="s">
        <v>826</v>
      </c>
      <c r="B147" s="18">
        <v>0</v>
      </c>
      <c r="C147" s="18">
        <v>1</v>
      </c>
      <c r="D147" s="18">
        <v>0</v>
      </c>
      <c r="E147" s="273">
        <v>0</v>
      </c>
      <c r="F147" s="35">
        <v>0</v>
      </c>
      <c r="G147" s="35">
        <v>0</v>
      </c>
      <c r="H147" s="289">
        <v>1</v>
      </c>
      <c r="I147" s="35">
        <v>0</v>
      </c>
      <c r="J147" s="35">
        <v>0</v>
      </c>
      <c r="K147" s="35">
        <v>0</v>
      </c>
      <c r="L147" s="35">
        <v>0</v>
      </c>
      <c r="M147" s="35">
        <v>0</v>
      </c>
      <c r="N147" s="177">
        <f t="shared" si="60"/>
        <v>2</v>
      </c>
      <c r="O147" s="19">
        <f t="shared" si="61"/>
        <v>0.16666666666666666</v>
      </c>
      <c r="P147" s="8"/>
      <c r="Q147" s="8"/>
      <c r="R147" s="8"/>
      <c r="S147" s="8"/>
      <c r="T147" s="8"/>
      <c r="U147" s="8"/>
      <c r="V147" s="8"/>
      <c r="W147" s="8"/>
      <c r="X147" s="8"/>
      <c r="Y147" s="8"/>
      <c r="Z147" s="8"/>
    </row>
    <row r="148" spans="1:26" s="9" customFormat="1" ht="15.75">
      <c r="A148" s="33" t="s">
        <v>847</v>
      </c>
      <c r="B148" s="18">
        <v>0</v>
      </c>
      <c r="C148" s="18">
        <v>0</v>
      </c>
      <c r="D148" s="18">
        <v>1</v>
      </c>
      <c r="E148" s="273">
        <v>0</v>
      </c>
      <c r="F148" s="35">
        <v>2</v>
      </c>
      <c r="G148" s="35">
        <v>1</v>
      </c>
      <c r="H148" s="289">
        <v>1</v>
      </c>
      <c r="I148" s="35">
        <v>2</v>
      </c>
      <c r="J148" s="35">
        <v>0</v>
      </c>
      <c r="K148" s="35">
        <v>1</v>
      </c>
      <c r="L148" s="35">
        <v>0</v>
      </c>
      <c r="M148" s="35">
        <v>0</v>
      </c>
      <c r="N148" s="177">
        <f t="shared" si="60"/>
        <v>8</v>
      </c>
      <c r="O148" s="19">
        <f t="shared" si="61"/>
        <v>0.66666666666666663</v>
      </c>
      <c r="P148" s="8"/>
      <c r="Q148" s="8"/>
      <c r="R148" s="8"/>
      <c r="S148" s="8"/>
      <c r="T148" s="8"/>
      <c r="U148" s="8"/>
      <c r="V148" s="8"/>
      <c r="W148" s="8"/>
      <c r="X148" s="8"/>
      <c r="Y148" s="8"/>
      <c r="Z148" s="8"/>
    </row>
    <row r="149" spans="1:26" s="9" customFormat="1" ht="15.75">
      <c r="A149" s="33" t="s">
        <v>726</v>
      </c>
      <c r="B149" s="18">
        <v>1</v>
      </c>
      <c r="C149" s="18">
        <v>0</v>
      </c>
      <c r="D149" s="18">
        <v>0</v>
      </c>
      <c r="E149" s="273">
        <v>0</v>
      </c>
      <c r="F149" s="35">
        <v>0</v>
      </c>
      <c r="G149" s="35">
        <v>0</v>
      </c>
      <c r="H149" s="289">
        <v>0</v>
      </c>
      <c r="I149" s="35">
        <v>0</v>
      </c>
      <c r="J149" s="35">
        <v>2</v>
      </c>
      <c r="K149" s="35">
        <v>1</v>
      </c>
      <c r="L149" s="35">
        <v>0</v>
      </c>
      <c r="M149" s="35">
        <v>2</v>
      </c>
      <c r="N149" s="177">
        <f t="shared" si="60"/>
        <v>6</v>
      </c>
      <c r="O149" s="19">
        <f t="shared" si="61"/>
        <v>0.5</v>
      </c>
      <c r="P149" s="8"/>
      <c r="Q149" s="8"/>
      <c r="R149" s="8"/>
      <c r="S149" s="8"/>
      <c r="T149" s="8"/>
      <c r="U149" s="8"/>
      <c r="V149" s="8"/>
      <c r="W149" s="8"/>
      <c r="X149" s="8"/>
      <c r="Y149" s="8"/>
      <c r="Z149" s="8"/>
    </row>
    <row r="150" spans="1:26" s="9" customFormat="1" ht="15.75">
      <c r="A150" s="33" t="s">
        <v>883</v>
      </c>
      <c r="B150" s="18">
        <v>0</v>
      </c>
      <c r="C150" s="18">
        <v>0</v>
      </c>
      <c r="D150" s="18">
        <v>0</v>
      </c>
      <c r="E150" s="273">
        <v>0</v>
      </c>
      <c r="F150" s="35">
        <v>0</v>
      </c>
      <c r="G150" s="35">
        <v>0</v>
      </c>
      <c r="H150" s="289">
        <v>0</v>
      </c>
      <c r="I150" s="35">
        <v>0</v>
      </c>
      <c r="J150" s="35">
        <v>0</v>
      </c>
      <c r="K150" s="35">
        <v>0</v>
      </c>
      <c r="L150" s="35">
        <v>1</v>
      </c>
      <c r="M150" s="35">
        <v>0</v>
      </c>
      <c r="N150" s="177">
        <f t="shared" si="60"/>
        <v>1</v>
      </c>
      <c r="O150" s="19">
        <f t="shared" si="61"/>
        <v>8.3333333333333329E-2</v>
      </c>
      <c r="P150" s="8"/>
      <c r="Q150" s="8"/>
      <c r="R150" s="8"/>
      <c r="S150" s="8"/>
      <c r="T150" s="8"/>
      <c r="U150" s="8"/>
      <c r="V150" s="8"/>
      <c r="W150" s="8"/>
      <c r="X150" s="8"/>
      <c r="Y150" s="8"/>
      <c r="Z150" s="8"/>
    </row>
    <row r="151" spans="1:26" s="9" customFormat="1" ht="15.75">
      <c r="A151" s="33" t="s">
        <v>828</v>
      </c>
      <c r="B151" s="18">
        <v>0</v>
      </c>
      <c r="C151" s="18">
        <v>1</v>
      </c>
      <c r="D151" s="18">
        <v>1</v>
      </c>
      <c r="E151" s="273">
        <v>0</v>
      </c>
      <c r="F151" s="35">
        <v>1</v>
      </c>
      <c r="G151" s="35">
        <v>0</v>
      </c>
      <c r="H151" s="289">
        <v>0</v>
      </c>
      <c r="I151" s="35">
        <v>1</v>
      </c>
      <c r="J151" s="35">
        <v>0</v>
      </c>
      <c r="K151" s="35">
        <v>0</v>
      </c>
      <c r="L151" s="35">
        <v>0</v>
      </c>
      <c r="M151" s="35">
        <v>0</v>
      </c>
      <c r="N151" s="177">
        <f t="shared" si="60"/>
        <v>4</v>
      </c>
      <c r="O151" s="19">
        <f t="shared" si="61"/>
        <v>0.33333333333333331</v>
      </c>
      <c r="P151" s="8"/>
      <c r="Q151" s="8"/>
      <c r="R151" s="8"/>
      <c r="S151" s="8"/>
      <c r="T151" s="8"/>
      <c r="U151" s="8"/>
      <c r="V151" s="8"/>
      <c r="W151" s="8"/>
      <c r="X151" s="8"/>
      <c r="Y151" s="8"/>
      <c r="Z151" s="8"/>
    </row>
    <row r="152" spans="1:26" s="9" customFormat="1" ht="15.75">
      <c r="A152" s="33" t="s">
        <v>827</v>
      </c>
      <c r="B152" s="18">
        <v>0</v>
      </c>
      <c r="C152" s="18">
        <v>1</v>
      </c>
      <c r="D152" s="18">
        <v>0</v>
      </c>
      <c r="E152" s="273">
        <v>0</v>
      </c>
      <c r="F152" s="35">
        <v>0</v>
      </c>
      <c r="G152" s="35">
        <v>0</v>
      </c>
      <c r="H152" s="289">
        <v>0</v>
      </c>
      <c r="I152" s="35">
        <v>0</v>
      </c>
      <c r="J152" s="35">
        <v>1</v>
      </c>
      <c r="K152" s="35">
        <v>3</v>
      </c>
      <c r="L152" s="35">
        <v>0</v>
      </c>
      <c r="M152" s="35">
        <v>0</v>
      </c>
      <c r="N152" s="177">
        <f t="shared" si="60"/>
        <v>5</v>
      </c>
      <c r="O152" s="19">
        <f t="shared" si="61"/>
        <v>0.41666666666666669</v>
      </c>
      <c r="P152" s="8"/>
      <c r="Q152" s="8"/>
      <c r="R152" s="8"/>
      <c r="S152" s="8"/>
      <c r="T152" s="8"/>
      <c r="U152" s="8"/>
      <c r="V152" s="8"/>
      <c r="W152" s="8"/>
      <c r="X152" s="8"/>
      <c r="Y152" s="8"/>
      <c r="Z152" s="8"/>
    </row>
    <row r="153" spans="1:26" s="9" customFormat="1" ht="15.75">
      <c r="A153" s="33" t="s">
        <v>829</v>
      </c>
      <c r="B153" s="18">
        <v>0</v>
      </c>
      <c r="C153" s="18">
        <v>1</v>
      </c>
      <c r="D153" s="18">
        <v>0</v>
      </c>
      <c r="E153" s="273">
        <v>0</v>
      </c>
      <c r="F153" s="35">
        <v>0</v>
      </c>
      <c r="G153" s="35">
        <v>1</v>
      </c>
      <c r="H153" s="289">
        <v>0</v>
      </c>
      <c r="I153" s="35">
        <v>0</v>
      </c>
      <c r="J153" s="35">
        <v>1</v>
      </c>
      <c r="K153" s="35">
        <v>1</v>
      </c>
      <c r="L153" s="35">
        <v>1</v>
      </c>
      <c r="M153" s="35">
        <v>2</v>
      </c>
      <c r="N153" s="177">
        <f t="shared" si="60"/>
        <v>7</v>
      </c>
      <c r="O153" s="19">
        <f t="shared" si="61"/>
        <v>0.58333333333333337</v>
      </c>
      <c r="P153" s="8"/>
      <c r="Q153" s="8"/>
      <c r="R153" s="8"/>
      <c r="S153" s="8"/>
      <c r="T153" s="8"/>
      <c r="U153" s="8"/>
      <c r="V153" s="8"/>
      <c r="W153" s="8"/>
      <c r="X153" s="8"/>
      <c r="Y153" s="8"/>
      <c r="Z153" s="8"/>
    </row>
    <row r="154" spans="1:26" s="9" customFormat="1" ht="15.75">
      <c r="A154" s="33" t="s">
        <v>884</v>
      </c>
      <c r="B154" s="18">
        <v>0</v>
      </c>
      <c r="C154" s="18">
        <v>0</v>
      </c>
      <c r="D154" s="18">
        <v>0</v>
      </c>
      <c r="E154" s="273">
        <v>0</v>
      </c>
      <c r="F154" s="35">
        <v>0</v>
      </c>
      <c r="G154" s="35">
        <v>0</v>
      </c>
      <c r="H154" s="289">
        <v>0</v>
      </c>
      <c r="I154" s="35">
        <v>0</v>
      </c>
      <c r="J154" s="35">
        <v>0</v>
      </c>
      <c r="K154" s="35">
        <v>0</v>
      </c>
      <c r="L154" s="35">
        <v>1</v>
      </c>
      <c r="M154" s="35">
        <v>0</v>
      </c>
      <c r="N154" s="177">
        <f t="shared" ref="N154" si="66">SUM(B154:M154)</f>
        <v>1</v>
      </c>
      <c r="O154" s="19">
        <f t="shared" ref="O154" si="67">IF(N154=0,0,AVERAGE(B154:M154))</f>
        <v>8.3333333333333329E-2</v>
      </c>
      <c r="P154" s="8"/>
      <c r="Q154" s="8"/>
      <c r="R154" s="8"/>
      <c r="S154" s="8"/>
      <c r="T154" s="8"/>
      <c r="U154" s="8"/>
      <c r="V154" s="8"/>
      <c r="W154" s="8"/>
      <c r="X154" s="8"/>
      <c r="Y154" s="8"/>
      <c r="Z154" s="8"/>
    </row>
    <row r="155" spans="1:26" s="9" customFormat="1" ht="15.75">
      <c r="A155" s="33" t="s">
        <v>862</v>
      </c>
      <c r="B155" s="18">
        <v>0</v>
      </c>
      <c r="C155" s="18">
        <v>0</v>
      </c>
      <c r="D155" s="18">
        <v>0</v>
      </c>
      <c r="E155" s="273">
        <v>0</v>
      </c>
      <c r="F155" s="35">
        <v>1</v>
      </c>
      <c r="G155" s="35">
        <v>2</v>
      </c>
      <c r="H155" s="289">
        <v>0</v>
      </c>
      <c r="I155" s="35">
        <v>0</v>
      </c>
      <c r="J155" s="35">
        <v>3</v>
      </c>
      <c r="K155" s="35">
        <v>0</v>
      </c>
      <c r="L155" s="35">
        <v>0</v>
      </c>
      <c r="M155" s="35">
        <v>0</v>
      </c>
      <c r="N155" s="177">
        <f t="shared" si="60"/>
        <v>6</v>
      </c>
      <c r="O155" s="19">
        <f t="shared" si="61"/>
        <v>0.5</v>
      </c>
      <c r="P155" s="8"/>
      <c r="Q155" s="8"/>
      <c r="R155" s="8"/>
      <c r="S155" s="8"/>
      <c r="T155" s="8"/>
      <c r="U155" s="8"/>
      <c r="V155" s="8"/>
      <c r="W155" s="8"/>
      <c r="X155" s="8"/>
      <c r="Y155" s="8"/>
      <c r="Z155" s="8"/>
    </row>
    <row r="156" spans="1:26" s="9" customFormat="1" ht="15.75">
      <c r="A156" s="33" t="s">
        <v>830</v>
      </c>
      <c r="B156" s="18">
        <v>0</v>
      </c>
      <c r="C156" s="18">
        <v>2</v>
      </c>
      <c r="D156" s="18">
        <v>0</v>
      </c>
      <c r="E156" s="273">
        <v>0</v>
      </c>
      <c r="F156" s="35">
        <v>0</v>
      </c>
      <c r="G156" s="35">
        <v>1</v>
      </c>
      <c r="H156" s="289">
        <v>0</v>
      </c>
      <c r="I156" s="35">
        <v>0</v>
      </c>
      <c r="J156" s="35">
        <v>0</v>
      </c>
      <c r="K156" s="35">
        <v>0</v>
      </c>
      <c r="L156" s="35">
        <v>0</v>
      </c>
      <c r="M156" s="35">
        <v>0</v>
      </c>
      <c r="N156" s="177">
        <f t="shared" si="60"/>
        <v>3</v>
      </c>
      <c r="O156" s="19">
        <f t="shared" si="61"/>
        <v>0.25</v>
      </c>
      <c r="P156" s="8"/>
      <c r="Q156" s="8"/>
      <c r="R156" s="8"/>
      <c r="S156" s="8"/>
      <c r="T156" s="8"/>
      <c r="U156" s="8"/>
      <c r="V156" s="8"/>
      <c r="W156" s="8"/>
      <c r="X156" s="8"/>
      <c r="Y156" s="8"/>
      <c r="Z156" s="8"/>
    </row>
    <row r="157" spans="1:26" s="9" customFormat="1" ht="15.75">
      <c r="A157" s="33" t="s">
        <v>879</v>
      </c>
      <c r="B157" s="18">
        <v>0</v>
      </c>
      <c r="C157" s="18">
        <v>0</v>
      </c>
      <c r="D157" s="18">
        <v>0</v>
      </c>
      <c r="E157" s="273">
        <v>0</v>
      </c>
      <c r="F157" s="35">
        <v>0</v>
      </c>
      <c r="G157" s="35">
        <v>0</v>
      </c>
      <c r="H157" s="289">
        <v>0</v>
      </c>
      <c r="I157" s="35">
        <v>0</v>
      </c>
      <c r="J157" s="35">
        <v>1</v>
      </c>
      <c r="K157" s="35">
        <v>0</v>
      </c>
      <c r="L157" s="35">
        <v>0</v>
      </c>
      <c r="M157" s="35">
        <v>1</v>
      </c>
      <c r="N157" s="177">
        <f t="shared" si="60"/>
        <v>2</v>
      </c>
      <c r="O157" s="19">
        <f t="shared" si="61"/>
        <v>0.16666666666666666</v>
      </c>
      <c r="P157" s="8"/>
      <c r="Q157" s="8"/>
      <c r="R157" s="8"/>
      <c r="S157" s="8"/>
      <c r="T157" s="8"/>
      <c r="U157" s="8"/>
      <c r="V157" s="8"/>
      <c r="W157" s="8"/>
      <c r="X157" s="8"/>
      <c r="Y157" s="8"/>
      <c r="Z157" s="8"/>
    </row>
    <row r="158" spans="1:26" s="9" customFormat="1" ht="15.75">
      <c r="A158" s="33" t="s">
        <v>727</v>
      </c>
      <c r="B158" s="18">
        <v>1</v>
      </c>
      <c r="C158" s="18">
        <v>0</v>
      </c>
      <c r="D158" s="18">
        <v>0</v>
      </c>
      <c r="E158" s="273">
        <v>0</v>
      </c>
      <c r="F158" s="35">
        <v>0</v>
      </c>
      <c r="G158" s="35">
        <v>2</v>
      </c>
      <c r="H158" s="289">
        <v>0</v>
      </c>
      <c r="I158" s="35">
        <v>0</v>
      </c>
      <c r="J158" s="35">
        <v>0</v>
      </c>
      <c r="K158" s="35">
        <v>0</v>
      </c>
      <c r="L158" s="35">
        <v>1</v>
      </c>
      <c r="M158" s="35">
        <v>0</v>
      </c>
      <c r="N158" s="177">
        <f t="shared" si="60"/>
        <v>4</v>
      </c>
      <c r="O158" s="19">
        <f t="shared" si="61"/>
        <v>0.33333333333333331</v>
      </c>
      <c r="P158" s="8"/>
      <c r="Q158" s="8"/>
      <c r="R158" s="8"/>
      <c r="S158" s="8"/>
      <c r="T158" s="8"/>
      <c r="U158" s="8"/>
      <c r="V158" s="8"/>
      <c r="W158" s="8"/>
      <c r="X158" s="8"/>
      <c r="Y158" s="8"/>
      <c r="Z158" s="8"/>
    </row>
    <row r="159" spans="1:26" s="9" customFormat="1" ht="15.75">
      <c r="A159" s="33" t="s">
        <v>58</v>
      </c>
      <c r="B159" s="18">
        <v>3</v>
      </c>
      <c r="C159" s="18">
        <v>4</v>
      </c>
      <c r="D159" s="18">
        <v>1</v>
      </c>
      <c r="E159" s="273">
        <v>0</v>
      </c>
      <c r="F159" s="35">
        <v>2</v>
      </c>
      <c r="G159" s="35">
        <v>5</v>
      </c>
      <c r="H159" s="35">
        <v>4</v>
      </c>
      <c r="I159" s="35">
        <v>7</v>
      </c>
      <c r="J159" s="35">
        <v>6</v>
      </c>
      <c r="K159" s="35">
        <v>8</v>
      </c>
      <c r="L159" s="35">
        <v>2</v>
      </c>
      <c r="M159" s="35">
        <v>3</v>
      </c>
      <c r="N159" s="177">
        <f t="shared" ref="N159:N205" si="68">SUM(B159:M159)</f>
        <v>45</v>
      </c>
      <c r="O159" s="19">
        <f t="shared" ref="O159:O205" si="69">IF(N159=0,0,AVERAGE(B159:M159))</f>
        <v>3.75</v>
      </c>
      <c r="P159" s="10"/>
      <c r="Q159" s="10"/>
      <c r="R159" s="10"/>
      <c r="S159" s="10"/>
      <c r="T159" s="10"/>
      <c r="U159" s="10"/>
      <c r="V159" s="10"/>
      <c r="W159" s="10"/>
      <c r="X159" s="10"/>
      <c r="Y159" s="10"/>
      <c r="Z159" s="10"/>
    </row>
    <row r="160" spans="1:26" s="9" customFormat="1" ht="15.75">
      <c r="A160" s="33" t="s">
        <v>713</v>
      </c>
      <c r="B160" s="18">
        <v>1</v>
      </c>
      <c r="C160" s="18">
        <v>0</v>
      </c>
      <c r="D160" s="18">
        <v>0</v>
      </c>
      <c r="E160" s="273">
        <v>0</v>
      </c>
      <c r="F160" s="35">
        <v>0</v>
      </c>
      <c r="G160" s="35">
        <v>2</v>
      </c>
      <c r="H160" s="35">
        <v>0</v>
      </c>
      <c r="I160" s="35">
        <v>0</v>
      </c>
      <c r="J160" s="35">
        <v>2</v>
      </c>
      <c r="K160" s="35">
        <v>0</v>
      </c>
      <c r="L160" s="35">
        <v>1</v>
      </c>
      <c r="M160" s="35">
        <v>0</v>
      </c>
      <c r="N160" s="177">
        <f t="shared" si="68"/>
        <v>6</v>
      </c>
      <c r="O160" s="19">
        <f t="shared" si="69"/>
        <v>0.5</v>
      </c>
      <c r="P160" s="10"/>
      <c r="Q160" s="10"/>
      <c r="R160" s="10"/>
      <c r="S160" s="10"/>
      <c r="T160" s="10"/>
      <c r="U160" s="10"/>
      <c r="V160" s="10"/>
      <c r="W160" s="10"/>
      <c r="X160" s="10"/>
      <c r="Y160" s="10"/>
      <c r="Z160" s="10"/>
    </row>
    <row r="161" spans="1:26" s="9" customFormat="1" ht="15.75">
      <c r="A161" s="33" t="s">
        <v>695</v>
      </c>
      <c r="B161" s="18">
        <v>1</v>
      </c>
      <c r="C161" s="18">
        <v>1</v>
      </c>
      <c r="D161" s="18">
        <v>0</v>
      </c>
      <c r="E161" s="273">
        <v>0</v>
      </c>
      <c r="F161" s="35">
        <v>0</v>
      </c>
      <c r="G161" s="35">
        <v>0</v>
      </c>
      <c r="H161" s="35">
        <v>0</v>
      </c>
      <c r="I161" s="35">
        <v>0</v>
      </c>
      <c r="J161" s="35">
        <v>1</v>
      </c>
      <c r="K161" s="35">
        <v>0</v>
      </c>
      <c r="L161" s="35">
        <v>0</v>
      </c>
      <c r="M161" s="35">
        <v>0</v>
      </c>
      <c r="N161" s="177">
        <f t="shared" si="68"/>
        <v>3</v>
      </c>
      <c r="O161" s="19">
        <f t="shared" si="69"/>
        <v>0.25</v>
      </c>
      <c r="P161" s="10"/>
      <c r="Q161" s="10"/>
      <c r="R161" s="10"/>
      <c r="S161" s="10"/>
      <c r="T161" s="10"/>
      <c r="U161" s="10"/>
      <c r="V161" s="10"/>
      <c r="W161" s="10"/>
      <c r="X161" s="10"/>
      <c r="Y161" s="10"/>
      <c r="Z161" s="10"/>
    </row>
    <row r="162" spans="1:26" s="9" customFormat="1" ht="15.75">
      <c r="A162" s="33" t="s">
        <v>831</v>
      </c>
      <c r="B162" s="18">
        <v>0</v>
      </c>
      <c r="C162" s="18">
        <v>2</v>
      </c>
      <c r="D162" s="18">
        <v>1</v>
      </c>
      <c r="E162" s="273">
        <v>0</v>
      </c>
      <c r="F162" s="35">
        <v>0</v>
      </c>
      <c r="G162" s="35">
        <v>0</v>
      </c>
      <c r="H162" s="35">
        <v>0</v>
      </c>
      <c r="I162" s="35">
        <v>0</v>
      </c>
      <c r="J162" s="35">
        <v>0</v>
      </c>
      <c r="K162" s="35">
        <v>0</v>
      </c>
      <c r="L162" s="35">
        <v>0</v>
      </c>
      <c r="M162" s="35">
        <v>0</v>
      </c>
      <c r="N162" s="177">
        <f t="shared" si="68"/>
        <v>3</v>
      </c>
      <c r="O162" s="19">
        <f t="shared" si="69"/>
        <v>0.25</v>
      </c>
      <c r="P162" s="10"/>
      <c r="Q162" s="10"/>
      <c r="R162" s="10"/>
      <c r="S162" s="10"/>
      <c r="T162" s="10"/>
      <c r="U162" s="10"/>
      <c r="V162" s="10"/>
      <c r="W162" s="10"/>
      <c r="X162" s="10"/>
      <c r="Y162" s="10"/>
      <c r="Z162" s="10"/>
    </row>
    <row r="163" spans="1:26" s="9" customFormat="1" ht="15.75">
      <c r="A163" s="33" t="s">
        <v>567</v>
      </c>
      <c r="B163" s="18">
        <v>1</v>
      </c>
      <c r="C163" s="18">
        <v>1</v>
      </c>
      <c r="D163" s="18">
        <v>1</v>
      </c>
      <c r="E163" s="273">
        <v>2</v>
      </c>
      <c r="F163" s="35">
        <v>3</v>
      </c>
      <c r="G163" s="35">
        <v>1</v>
      </c>
      <c r="H163" s="35">
        <v>1</v>
      </c>
      <c r="I163" s="35">
        <v>0</v>
      </c>
      <c r="J163" s="35">
        <v>1</v>
      </c>
      <c r="K163" s="35">
        <v>4</v>
      </c>
      <c r="L163" s="35">
        <v>2</v>
      </c>
      <c r="M163" s="35">
        <v>0</v>
      </c>
      <c r="N163" s="177">
        <f>SUM(B163:M163)</f>
        <v>17</v>
      </c>
      <c r="O163" s="19">
        <f>IF(N163=0,0,AVERAGE(B163:M163))</f>
        <v>1.4166666666666667</v>
      </c>
      <c r="P163" s="10"/>
      <c r="Q163" s="10"/>
      <c r="R163" s="10"/>
      <c r="S163" s="10"/>
      <c r="T163" s="10"/>
      <c r="U163" s="10"/>
      <c r="V163" s="10"/>
      <c r="W163" s="10"/>
      <c r="X163" s="10"/>
      <c r="Y163" s="10"/>
      <c r="Z163" s="10"/>
    </row>
    <row r="164" spans="1:26" s="9" customFormat="1" ht="15.75">
      <c r="A164" s="33" t="s">
        <v>696</v>
      </c>
      <c r="B164" s="18">
        <v>1</v>
      </c>
      <c r="C164" s="18">
        <v>1</v>
      </c>
      <c r="D164" s="18">
        <v>0</v>
      </c>
      <c r="E164" s="273">
        <v>1</v>
      </c>
      <c r="F164" s="35">
        <v>2</v>
      </c>
      <c r="G164" s="35">
        <v>0</v>
      </c>
      <c r="H164" s="35">
        <v>1</v>
      </c>
      <c r="I164" s="35">
        <v>2</v>
      </c>
      <c r="J164" s="35">
        <v>0</v>
      </c>
      <c r="K164" s="35">
        <v>0</v>
      </c>
      <c r="L164" s="35">
        <v>1</v>
      </c>
      <c r="M164" s="35">
        <v>1</v>
      </c>
      <c r="N164" s="177">
        <f>SUM(B164:M164)</f>
        <v>10</v>
      </c>
      <c r="O164" s="19">
        <f>IF(N164=0,0,AVERAGE(B164:M164))</f>
        <v>0.83333333333333337</v>
      </c>
      <c r="P164" s="10"/>
      <c r="Q164" s="10"/>
      <c r="R164" s="10"/>
      <c r="S164" s="10"/>
      <c r="T164" s="10"/>
      <c r="U164" s="10"/>
      <c r="V164" s="10"/>
      <c r="W164" s="10"/>
      <c r="X164" s="10"/>
      <c r="Y164" s="10"/>
      <c r="Z164" s="10"/>
    </row>
    <row r="165" spans="1:26" s="9" customFormat="1" ht="15.75">
      <c r="A165" s="33" t="s">
        <v>869</v>
      </c>
      <c r="B165" s="18">
        <v>0</v>
      </c>
      <c r="C165" s="18">
        <v>0</v>
      </c>
      <c r="D165" s="18">
        <v>0</v>
      </c>
      <c r="E165" s="273">
        <v>0</v>
      </c>
      <c r="F165" s="35">
        <v>0</v>
      </c>
      <c r="G165" s="35">
        <v>0</v>
      </c>
      <c r="H165" s="35">
        <v>2</v>
      </c>
      <c r="I165" s="35">
        <v>0</v>
      </c>
      <c r="J165" s="35">
        <v>0</v>
      </c>
      <c r="K165" s="35">
        <v>0</v>
      </c>
      <c r="L165" s="35">
        <v>0</v>
      </c>
      <c r="M165" s="35">
        <v>0</v>
      </c>
      <c r="N165" s="177">
        <f>SUM(B165:M165)</f>
        <v>2</v>
      </c>
      <c r="O165" s="19">
        <f>IF(N165=0,0,AVERAGE(B165:M165))</f>
        <v>0.16666666666666666</v>
      </c>
      <c r="P165" s="10"/>
      <c r="Q165" s="10"/>
      <c r="R165" s="10"/>
      <c r="S165" s="10"/>
      <c r="T165" s="10"/>
      <c r="U165" s="10"/>
      <c r="V165" s="10"/>
      <c r="W165" s="10"/>
      <c r="X165" s="10"/>
      <c r="Y165" s="10"/>
      <c r="Z165" s="10"/>
    </row>
    <row r="166" spans="1:26" s="9" customFormat="1" ht="15.75">
      <c r="A166" s="33" t="s">
        <v>304</v>
      </c>
      <c r="B166" s="18">
        <v>2</v>
      </c>
      <c r="C166" s="18">
        <v>0</v>
      </c>
      <c r="D166" s="65">
        <v>0</v>
      </c>
      <c r="E166" s="511">
        <v>0</v>
      </c>
      <c r="F166" s="512">
        <v>2</v>
      </c>
      <c r="G166" s="512">
        <v>0</v>
      </c>
      <c r="H166" s="512">
        <v>1</v>
      </c>
      <c r="I166" s="512">
        <v>0</v>
      </c>
      <c r="J166" s="512">
        <v>1</v>
      </c>
      <c r="K166" s="512">
        <v>1</v>
      </c>
      <c r="L166" s="512">
        <v>0</v>
      </c>
      <c r="M166" s="35">
        <v>0</v>
      </c>
      <c r="N166" s="513">
        <f>SUM(B166:M166)</f>
        <v>7</v>
      </c>
      <c r="O166" s="66">
        <f>IF(N166=0,0,AVERAGE(B166:M166))</f>
        <v>0.58333333333333337</v>
      </c>
      <c r="P166" s="10"/>
      <c r="Q166" s="10"/>
      <c r="R166" s="10"/>
      <c r="S166" s="10"/>
      <c r="T166" s="10"/>
      <c r="U166" s="10"/>
      <c r="V166" s="10"/>
      <c r="W166" s="10"/>
      <c r="X166" s="10"/>
      <c r="Y166" s="10"/>
      <c r="Z166" s="10"/>
    </row>
    <row r="167" spans="1:26" s="9" customFormat="1" ht="15.75">
      <c r="A167" s="33" t="s">
        <v>870</v>
      </c>
      <c r="B167" s="18">
        <v>0</v>
      </c>
      <c r="C167" s="273">
        <v>0</v>
      </c>
      <c r="D167" s="35">
        <v>0</v>
      </c>
      <c r="E167" s="35">
        <v>0</v>
      </c>
      <c r="F167" s="35">
        <v>0</v>
      </c>
      <c r="G167" s="35">
        <v>0</v>
      </c>
      <c r="H167" s="35">
        <v>1</v>
      </c>
      <c r="I167" s="35">
        <v>1</v>
      </c>
      <c r="J167" s="35">
        <v>1</v>
      </c>
      <c r="K167" s="35">
        <v>1</v>
      </c>
      <c r="L167" s="35">
        <v>0</v>
      </c>
      <c r="M167" s="35">
        <v>0</v>
      </c>
      <c r="N167" s="138">
        <f>SUM(B167:M167)</f>
        <v>4</v>
      </c>
      <c r="O167" s="42">
        <f>IF(N167=0,0,AVERAGE(B167:M167))</f>
        <v>0.33333333333333331</v>
      </c>
      <c r="P167" s="10"/>
      <c r="Q167" s="10"/>
      <c r="R167" s="10"/>
      <c r="S167" s="10"/>
      <c r="T167" s="10"/>
      <c r="U167" s="10"/>
      <c r="V167" s="10"/>
      <c r="W167" s="10"/>
      <c r="X167" s="10"/>
      <c r="Y167" s="10"/>
      <c r="Z167" s="10"/>
    </row>
    <row r="168" spans="1:26" s="9" customFormat="1" ht="15.75">
      <c r="A168" s="33" t="s">
        <v>577</v>
      </c>
      <c r="B168" s="18">
        <v>1</v>
      </c>
      <c r="C168" s="18">
        <v>1</v>
      </c>
      <c r="D168" s="36">
        <v>0</v>
      </c>
      <c r="E168" s="272">
        <v>1</v>
      </c>
      <c r="F168" s="514">
        <v>3</v>
      </c>
      <c r="G168" s="514">
        <v>0</v>
      </c>
      <c r="H168" s="514">
        <v>1</v>
      </c>
      <c r="I168" s="514">
        <v>0</v>
      </c>
      <c r="J168" s="514">
        <v>0</v>
      </c>
      <c r="K168" s="514">
        <v>1</v>
      </c>
      <c r="L168" s="514">
        <v>1</v>
      </c>
      <c r="M168" s="514">
        <v>1</v>
      </c>
      <c r="N168" s="515">
        <f t="shared" si="68"/>
        <v>10</v>
      </c>
      <c r="O168" s="111">
        <f t="shared" si="69"/>
        <v>0.83333333333333337</v>
      </c>
      <c r="P168" s="10"/>
      <c r="Q168" s="10"/>
      <c r="R168" s="10"/>
      <c r="S168" s="10"/>
      <c r="T168" s="10"/>
      <c r="U168" s="10"/>
      <c r="V168" s="10"/>
      <c r="W168" s="10"/>
      <c r="X168" s="10"/>
      <c r="Y168" s="10"/>
      <c r="Z168" s="10"/>
    </row>
    <row r="169" spans="1:26" s="9" customFormat="1" ht="15.75">
      <c r="A169" s="33" t="s">
        <v>866</v>
      </c>
      <c r="B169" s="18">
        <v>0</v>
      </c>
      <c r="C169" s="18">
        <v>0</v>
      </c>
      <c r="D169" s="18">
        <v>0</v>
      </c>
      <c r="E169" s="273">
        <v>0</v>
      </c>
      <c r="F169" s="35">
        <v>0</v>
      </c>
      <c r="G169" s="35">
        <v>1</v>
      </c>
      <c r="H169" s="35">
        <v>0</v>
      </c>
      <c r="I169" s="35">
        <v>0</v>
      </c>
      <c r="J169" s="35">
        <v>1</v>
      </c>
      <c r="K169" s="35">
        <v>0</v>
      </c>
      <c r="L169" s="35">
        <v>0</v>
      </c>
      <c r="M169" s="35">
        <v>0</v>
      </c>
      <c r="N169" s="177">
        <f t="shared" si="68"/>
        <v>2</v>
      </c>
      <c r="O169" s="19">
        <f t="shared" si="69"/>
        <v>0.16666666666666666</v>
      </c>
      <c r="P169" s="10"/>
      <c r="Q169" s="10"/>
      <c r="R169" s="10"/>
      <c r="S169" s="10"/>
      <c r="T169" s="10"/>
      <c r="U169" s="10"/>
      <c r="V169" s="10"/>
      <c r="W169" s="10"/>
      <c r="X169" s="10"/>
      <c r="Y169" s="10"/>
      <c r="Z169" s="10"/>
    </row>
    <row r="170" spans="1:26" s="9" customFormat="1" ht="15.75">
      <c r="A170" s="33" t="s">
        <v>871</v>
      </c>
      <c r="B170" s="18">
        <v>0</v>
      </c>
      <c r="C170" s="18">
        <v>0</v>
      </c>
      <c r="D170" s="18">
        <v>0</v>
      </c>
      <c r="E170" s="273">
        <v>0</v>
      </c>
      <c r="F170" s="35">
        <v>0</v>
      </c>
      <c r="G170" s="35">
        <v>0</v>
      </c>
      <c r="H170" s="35">
        <v>1</v>
      </c>
      <c r="I170" s="35">
        <v>0</v>
      </c>
      <c r="J170" s="35">
        <v>0</v>
      </c>
      <c r="K170" s="35">
        <v>0</v>
      </c>
      <c r="L170" s="35">
        <v>0</v>
      </c>
      <c r="M170" s="35">
        <v>0</v>
      </c>
      <c r="N170" s="177">
        <f t="shared" si="68"/>
        <v>1</v>
      </c>
      <c r="O170" s="19">
        <f t="shared" si="69"/>
        <v>8.3333333333333329E-2</v>
      </c>
      <c r="P170" s="10"/>
      <c r="Q170" s="10"/>
      <c r="R170" s="10"/>
      <c r="S170" s="10"/>
      <c r="T170" s="10"/>
      <c r="U170" s="10"/>
      <c r="V170" s="10"/>
      <c r="W170" s="10"/>
      <c r="X170" s="10"/>
      <c r="Y170" s="10"/>
      <c r="Z170" s="10"/>
    </row>
    <row r="171" spans="1:26" s="9" customFormat="1" ht="15.75">
      <c r="A171" s="33" t="s">
        <v>688</v>
      </c>
      <c r="B171" s="18">
        <v>3</v>
      </c>
      <c r="C171" s="18">
        <v>1</v>
      </c>
      <c r="D171" s="18">
        <v>1</v>
      </c>
      <c r="E171" s="273">
        <v>0</v>
      </c>
      <c r="F171" s="35">
        <v>2</v>
      </c>
      <c r="G171" s="35">
        <v>1</v>
      </c>
      <c r="H171" s="35">
        <v>1</v>
      </c>
      <c r="I171" s="35">
        <v>1</v>
      </c>
      <c r="J171" s="35">
        <v>0</v>
      </c>
      <c r="K171" s="35">
        <v>2</v>
      </c>
      <c r="L171" s="35">
        <v>1</v>
      </c>
      <c r="M171" s="35">
        <v>0</v>
      </c>
      <c r="N171" s="177">
        <f t="shared" si="68"/>
        <v>13</v>
      </c>
      <c r="O171" s="19">
        <f t="shared" si="69"/>
        <v>1.0833333333333333</v>
      </c>
      <c r="P171" s="10"/>
      <c r="Q171" s="10"/>
      <c r="R171" s="10"/>
      <c r="S171" s="10"/>
      <c r="T171" s="10"/>
      <c r="U171" s="10"/>
      <c r="V171" s="10"/>
      <c r="W171" s="10"/>
      <c r="X171" s="10"/>
      <c r="Y171" s="10"/>
      <c r="Z171" s="10"/>
    </row>
    <row r="172" spans="1:26" s="9" customFormat="1" ht="15.75">
      <c r="A172" s="33" t="s">
        <v>699</v>
      </c>
      <c r="B172" s="18">
        <v>1</v>
      </c>
      <c r="C172" s="18">
        <v>1</v>
      </c>
      <c r="D172" s="18">
        <v>3</v>
      </c>
      <c r="E172" s="273">
        <v>0</v>
      </c>
      <c r="F172" s="35">
        <v>2</v>
      </c>
      <c r="G172" s="35">
        <v>3</v>
      </c>
      <c r="H172" s="35">
        <v>2</v>
      </c>
      <c r="I172" s="35">
        <v>3</v>
      </c>
      <c r="J172" s="35">
        <v>1</v>
      </c>
      <c r="K172" s="35">
        <v>2</v>
      </c>
      <c r="L172" s="35">
        <v>1</v>
      </c>
      <c r="M172" s="35">
        <v>1</v>
      </c>
      <c r="N172" s="177">
        <f t="shared" si="68"/>
        <v>20</v>
      </c>
      <c r="O172" s="19">
        <f t="shared" si="69"/>
        <v>1.6666666666666667</v>
      </c>
      <c r="P172" s="10"/>
      <c r="Q172" s="10"/>
      <c r="R172" s="10"/>
      <c r="S172" s="10"/>
      <c r="T172" s="10"/>
      <c r="U172" s="10"/>
      <c r="V172" s="10"/>
      <c r="W172" s="10"/>
      <c r="X172" s="10"/>
      <c r="Y172" s="10"/>
      <c r="Z172" s="10"/>
    </row>
    <row r="173" spans="1:26" s="9" customFormat="1" ht="15.75">
      <c r="A173" s="33" t="s">
        <v>832</v>
      </c>
      <c r="B173" s="65">
        <v>0</v>
      </c>
      <c r="C173" s="65">
        <v>1</v>
      </c>
      <c r="D173" s="65">
        <v>2</v>
      </c>
      <c r="E173" s="511">
        <v>2</v>
      </c>
      <c r="F173" s="522">
        <v>0</v>
      </c>
      <c r="G173" s="522">
        <v>2</v>
      </c>
      <c r="H173" s="522">
        <v>2</v>
      </c>
      <c r="I173" s="522">
        <v>3</v>
      </c>
      <c r="J173" s="522">
        <v>0</v>
      </c>
      <c r="K173" s="522">
        <v>2</v>
      </c>
      <c r="L173" s="522">
        <v>1</v>
      </c>
      <c r="M173" s="522">
        <v>2</v>
      </c>
      <c r="N173" s="513">
        <f t="shared" ref="N173:N174" si="70">SUM(B173:M173)</f>
        <v>17</v>
      </c>
      <c r="O173" s="66">
        <f t="shared" ref="O173:O174" si="71">IF(N173=0,0,AVERAGE(B173:M173))</f>
        <v>1.4166666666666667</v>
      </c>
      <c r="P173" s="10"/>
      <c r="Q173" s="10"/>
      <c r="R173" s="10"/>
      <c r="S173" s="10"/>
      <c r="T173" s="10"/>
      <c r="U173" s="10"/>
      <c r="V173" s="10"/>
      <c r="W173" s="10"/>
      <c r="X173" s="10"/>
      <c r="Y173" s="10"/>
      <c r="Z173" s="10"/>
    </row>
    <row r="174" spans="1:26" s="9" customFormat="1" ht="15.75">
      <c r="A174" s="521" t="s">
        <v>875</v>
      </c>
      <c r="B174" s="35">
        <v>0</v>
      </c>
      <c r="C174" s="35">
        <v>0</v>
      </c>
      <c r="D174" s="35">
        <v>0</v>
      </c>
      <c r="E174" s="35">
        <v>0</v>
      </c>
      <c r="F174" s="35">
        <v>0</v>
      </c>
      <c r="G174" s="35">
        <v>0</v>
      </c>
      <c r="H174" s="35">
        <v>0</v>
      </c>
      <c r="I174" s="35">
        <v>1</v>
      </c>
      <c r="J174" s="35">
        <v>0</v>
      </c>
      <c r="K174" s="35">
        <v>0</v>
      </c>
      <c r="L174" s="35">
        <v>0</v>
      </c>
      <c r="M174" s="35">
        <v>0</v>
      </c>
      <c r="N174" s="138">
        <f t="shared" si="70"/>
        <v>1</v>
      </c>
      <c r="O174" s="42">
        <f t="shared" si="71"/>
        <v>8.3333333333333329E-2</v>
      </c>
      <c r="P174" s="10"/>
      <c r="Q174" s="10"/>
      <c r="R174" s="10"/>
      <c r="S174" s="10"/>
      <c r="T174" s="10"/>
      <c r="U174" s="10"/>
      <c r="V174" s="10"/>
      <c r="W174" s="10"/>
      <c r="X174" s="10"/>
      <c r="Y174" s="10"/>
      <c r="Z174" s="10"/>
    </row>
    <row r="175" spans="1:26" s="9" customFormat="1" ht="15.75">
      <c r="A175" s="33" t="s">
        <v>59</v>
      </c>
      <c r="B175" s="36">
        <v>4</v>
      </c>
      <c r="C175" s="36">
        <v>7</v>
      </c>
      <c r="D175" s="36">
        <v>2</v>
      </c>
      <c r="E175" s="36">
        <v>6</v>
      </c>
      <c r="F175" s="36">
        <v>4</v>
      </c>
      <c r="G175" s="36">
        <v>4</v>
      </c>
      <c r="H175" s="36">
        <v>11</v>
      </c>
      <c r="I175" s="36">
        <v>7</v>
      </c>
      <c r="J175" s="36">
        <v>3</v>
      </c>
      <c r="K175" s="36">
        <v>6</v>
      </c>
      <c r="L175" s="36">
        <v>11</v>
      </c>
      <c r="M175" s="36">
        <v>3</v>
      </c>
      <c r="N175" s="515">
        <f t="shared" si="68"/>
        <v>68</v>
      </c>
      <c r="O175" s="111">
        <f t="shared" si="69"/>
        <v>5.666666666666667</v>
      </c>
      <c r="P175" s="8"/>
      <c r="Q175" s="8"/>
      <c r="R175" s="8"/>
      <c r="S175" s="8"/>
      <c r="T175" s="8"/>
      <c r="U175" s="8"/>
      <c r="V175" s="8"/>
      <c r="W175" s="8"/>
      <c r="X175" s="8"/>
      <c r="Y175" s="8"/>
      <c r="Z175" s="8"/>
    </row>
    <row r="176" spans="1:26" s="9" customFormat="1" ht="15.75">
      <c r="A176" s="33" t="s">
        <v>689</v>
      </c>
      <c r="B176" s="18">
        <v>1</v>
      </c>
      <c r="C176" s="18">
        <v>0</v>
      </c>
      <c r="D176" s="18">
        <v>0</v>
      </c>
      <c r="E176" s="273">
        <v>0</v>
      </c>
      <c r="F176" s="18">
        <v>0</v>
      </c>
      <c r="G176" s="18">
        <v>0</v>
      </c>
      <c r="H176" s="18">
        <v>0</v>
      </c>
      <c r="I176" s="18">
        <v>0</v>
      </c>
      <c r="J176" s="18">
        <v>2</v>
      </c>
      <c r="K176" s="18">
        <v>0</v>
      </c>
      <c r="L176" s="18">
        <v>0</v>
      </c>
      <c r="M176" s="35">
        <v>0</v>
      </c>
      <c r="N176" s="177">
        <f t="shared" si="68"/>
        <v>3</v>
      </c>
      <c r="O176" s="19">
        <f t="shared" si="69"/>
        <v>0.25</v>
      </c>
      <c r="P176" s="8"/>
      <c r="Q176" s="8"/>
      <c r="R176" s="8"/>
      <c r="S176" s="8"/>
      <c r="T176" s="8"/>
      <c r="U176" s="8"/>
      <c r="V176" s="8"/>
      <c r="W176" s="8"/>
      <c r="X176" s="8"/>
      <c r="Y176" s="8"/>
      <c r="Z176" s="8"/>
    </row>
    <row r="177" spans="1:26" s="9" customFormat="1" ht="15.75">
      <c r="A177" s="33" t="s">
        <v>833</v>
      </c>
      <c r="B177" s="18">
        <v>0</v>
      </c>
      <c r="C177" s="18">
        <v>1</v>
      </c>
      <c r="D177" s="18">
        <v>0</v>
      </c>
      <c r="E177" s="273">
        <v>0</v>
      </c>
      <c r="F177" s="18">
        <v>0</v>
      </c>
      <c r="G177" s="18">
        <v>0</v>
      </c>
      <c r="H177" s="18">
        <v>0</v>
      </c>
      <c r="I177" s="18">
        <v>0</v>
      </c>
      <c r="J177" s="18">
        <v>0</v>
      </c>
      <c r="K177" s="18">
        <v>0</v>
      </c>
      <c r="L177" s="18">
        <v>0</v>
      </c>
      <c r="M177" s="35">
        <v>0</v>
      </c>
      <c r="N177" s="177">
        <f t="shared" si="68"/>
        <v>1</v>
      </c>
      <c r="O177" s="19">
        <f t="shared" si="69"/>
        <v>8.3333333333333329E-2</v>
      </c>
      <c r="P177" s="8"/>
      <c r="Q177" s="8"/>
      <c r="R177" s="8"/>
      <c r="S177" s="8"/>
      <c r="T177" s="8"/>
      <c r="U177" s="8"/>
      <c r="V177" s="8"/>
      <c r="W177" s="8"/>
      <c r="X177" s="8"/>
      <c r="Y177" s="8"/>
      <c r="Z177" s="8"/>
    </row>
    <row r="178" spans="1:26" s="9" customFormat="1" ht="15.75">
      <c r="A178" s="33" t="s">
        <v>690</v>
      </c>
      <c r="B178" s="18">
        <v>2</v>
      </c>
      <c r="C178" s="18">
        <v>1</v>
      </c>
      <c r="D178" s="18">
        <v>2</v>
      </c>
      <c r="E178" s="273">
        <v>0</v>
      </c>
      <c r="F178" s="18">
        <v>2</v>
      </c>
      <c r="G178" s="18">
        <v>1</v>
      </c>
      <c r="H178" s="18">
        <v>0</v>
      </c>
      <c r="I178" s="18">
        <v>0</v>
      </c>
      <c r="J178" s="18">
        <v>2</v>
      </c>
      <c r="K178" s="18">
        <v>1</v>
      </c>
      <c r="L178" s="18">
        <v>2</v>
      </c>
      <c r="M178" s="18">
        <v>1</v>
      </c>
      <c r="N178" s="177">
        <f t="shared" si="68"/>
        <v>14</v>
      </c>
      <c r="O178" s="19">
        <f t="shared" si="69"/>
        <v>1.1666666666666667</v>
      </c>
      <c r="P178" s="8"/>
      <c r="Q178" s="8"/>
      <c r="R178" s="8"/>
      <c r="S178" s="8"/>
      <c r="T178" s="8"/>
      <c r="U178" s="8"/>
      <c r="V178" s="8"/>
      <c r="W178" s="8"/>
      <c r="X178" s="8"/>
      <c r="Y178" s="8"/>
      <c r="Z178" s="8"/>
    </row>
    <row r="179" spans="1:26" s="9" customFormat="1" ht="15.75">
      <c r="A179" s="33" t="s">
        <v>867</v>
      </c>
      <c r="B179" s="18">
        <v>0</v>
      </c>
      <c r="C179" s="18">
        <v>0</v>
      </c>
      <c r="D179" s="18">
        <v>0</v>
      </c>
      <c r="E179" s="273">
        <v>0</v>
      </c>
      <c r="F179" s="18">
        <v>0</v>
      </c>
      <c r="G179" s="18">
        <v>1</v>
      </c>
      <c r="H179" s="18">
        <v>0</v>
      </c>
      <c r="I179" s="18">
        <v>0</v>
      </c>
      <c r="J179" s="18">
        <v>0</v>
      </c>
      <c r="K179" s="18">
        <v>1</v>
      </c>
      <c r="L179" s="18">
        <v>0</v>
      </c>
      <c r="M179" s="35">
        <v>0</v>
      </c>
      <c r="N179" s="177">
        <f t="shared" si="68"/>
        <v>2</v>
      </c>
      <c r="O179" s="19">
        <f t="shared" si="69"/>
        <v>0.16666666666666666</v>
      </c>
      <c r="P179" s="8"/>
      <c r="Q179" s="8"/>
      <c r="R179" s="8"/>
      <c r="S179" s="8"/>
      <c r="T179" s="8"/>
      <c r="U179" s="8"/>
      <c r="V179" s="8"/>
      <c r="W179" s="8"/>
      <c r="X179" s="8"/>
      <c r="Y179" s="8"/>
      <c r="Z179" s="8"/>
    </row>
    <row r="180" spans="1:26" s="9" customFormat="1" ht="15.75">
      <c r="A180" s="33" t="s">
        <v>719</v>
      </c>
      <c r="B180" s="18">
        <v>4</v>
      </c>
      <c r="C180" s="18">
        <v>2</v>
      </c>
      <c r="D180" s="18">
        <v>1</v>
      </c>
      <c r="E180" s="273">
        <v>0</v>
      </c>
      <c r="F180" s="18">
        <v>0</v>
      </c>
      <c r="G180" s="18">
        <v>0</v>
      </c>
      <c r="H180" s="18">
        <v>2</v>
      </c>
      <c r="I180" s="18">
        <v>0</v>
      </c>
      <c r="J180" s="18">
        <v>1</v>
      </c>
      <c r="K180" s="18">
        <v>0</v>
      </c>
      <c r="L180" s="18">
        <v>0</v>
      </c>
      <c r="M180" s="35">
        <v>0</v>
      </c>
      <c r="N180" s="177">
        <f t="shared" si="68"/>
        <v>10</v>
      </c>
      <c r="O180" s="19">
        <f t="shared" si="69"/>
        <v>0.83333333333333337</v>
      </c>
      <c r="P180" s="8"/>
      <c r="Q180" s="8"/>
      <c r="R180" s="8"/>
      <c r="S180" s="8"/>
      <c r="T180" s="8"/>
      <c r="U180" s="8"/>
      <c r="V180" s="8"/>
      <c r="W180" s="8"/>
      <c r="X180" s="8"/>
      <c r="Y180" s="8"/>
      <c r="Z180" s="8"/>
    </row>
    <row r="181" spans="1:26" s="9" customFormat="1" ht="15.75">
      <c r="A181" s="33" t="s">
        <v>728</v>
      </c>
      <c r="B181" s="18">
        <v>1</v>
      </c>
      <c r="C181" s="18">
        <v>0</v>
      </c>
      <c r="D181" s="18">
        <v>1</v>
      </c>
      <c r="E181" s="273">
        <v>0</v>
      </c>
      <c r="F181" s="18">
        <v>0</v>
      </c>
      <c r="G181" s="18">
        <v>0</v>
      </c>
      <c r="H181" s="18">
        <v>1</v>
      </c>
      <c r="I181" s="18">
        <v>0</v>
      </c>
      <c r="J181" s="18">
        <v>0</v>
      </c>
      <c r="K181" s="18">
        <v>0</v>
      </c>
      <c r="L181" s="18">
        <v>0</v>
      </c>
      <c r="M181" s="35">
        <v>0</v>
      </c>
      <c r="N181" s="177">
        <f t="shared" si="68"/>
        <v>3</v>
      </c>
      <c r="O181" s="19">
        <f t="shared" si="69"/>
        <v>0.25</v>
      </c>
      <c r="P181" s="8"/>
      <c r="Q181" s="8"/>
      <c r="R181" s="8"/>
      <c r="S181" s="8"/>
      <c r="T181" s="8"/>
      <c r="U181" s="8"/>
      <c r="V181" s="8"/>
      <c r="W181" s="8"/>
      <c r="X181" s="8"/>
      <c r="Y181" s="8"/>
      <c r="Z181" s="8"/>
    </row>
    <row r="182" spans="1:26" s="9" customFormat="1" ht="15.75">
      <c r="A182" s="33" t="s">
        <v>307</v>
      </c>
      <c r="B182" s="18">
        <v>1</v>
      </c>
      <c r="C182" s="18">
        <v>1</v>
      </c>
      <c r="D182" s="18">
        <v>0</v>
      </c>
      <c r="E182" s="273">
        <v>0</v>
      </c>
      <c r="F182" s="18">
        <v>3</v>
      </c>
      <c r="G182" s="18">
        <v>2</v>
      </c>
      <c r="H182" s="18">
        <v>4</v>
      </c>
      <c r="I182" s="18">
        <v>1</v>
      </c>
      <c r="J182" s="18">
        <v>0</v>
      </c>
      <c r="K182" s="18">
        <v>0</v>
      </c>
      <c r="L182" s="18">
        <v>4</v>
      </c>
      <c r="M182" s="18">
        <v>1</v>
      </c>
      <c r="N182" s="177">
        <f t="shared" si="68"/>
        <v>17</v>
      </c>
      <c r="O182" s="19">
        <f t="shared" si="69"/>
        <v>1.4166666666666667</v>
      </c>
      <c r="P182" s="8"/>
      <c r="Q182" s="8"/>
      <c r="R182" s="8"/>
      <c r="S182" s="8"/>
      <c r="T182" s="8"/>
      <c r="U182" s="8"/>
      <c r="V182" s="8"/>
      <c r="W182" s="8"/>
      <c r="X182" s="8"/>
      <c r="Y182" s="8"/>
      <c r="Z182" s="8"/>
    </row>
    <row r="183" spans="1:26" s="9" customFormat="1" ht="15.75">
      <c r="A183" s="33" t="s">
        <v>714</v>
      </c>
      <c r="B183" s="18">
        <v>2</v>
      </c>
      <c r="C183" s="18">
        <v>0</v>
      </c>
      <c r="D183" s="18">
        <v>0</v>
      </c>
      <c r="E183" s="18">
        <v>1</v>
      </c>
      <c r="F183" s="18">
        <v>4</v>
      </c>
      <c r="G183" s="18">
        <v>1</v>
      </c>
      <c r="H183" s="18">
        <v>0</v>
      </c>
      <c r="I183" s="18">
        <v>4</v>
      </c>
      <c r="J183" s="18">
        <v>2</v>
      </c>
      <c r="K183" s="18">
        <v>2</v>
      </c>
      <c r="L183" s="18">
        <v>3</v>
      </c>
      <c r="M183" s="18">
        <v>2</v>
      </c>
      <c r="N183" s="177">
        <f t="shared" si="68"/>
        <v>21</v>
      </c>
      <c r="O183" s="19">
        <f t="shared" si="69"/>
        <v>1.75</v>
      </c>
      <c r="P183" s="8"/>
      <c r="Q183" s="8"/>
      <c r="R183" s="8"/>
      <c r="S183" s="8"/>
      <c r="T183" s="8"/>
      <c r="U183" s="8"/>
      <c r="V183" s="8"/>
      <c r="W183" s="8"/>
      <c r="X183" s="8"/>
      <c r="Y183" s="8"/>
      <c r="Z183" s="8"/>
    </row>
    <row r="184" spans="1:26" s="9" customFormat="1" ht="15.75">
      <c r="A184" s="33" t="s">
        <v>848</v>
      </c>
      <c r="B184" s="18">
        <v>0</v>
      </c>
      <c r="C184" s="18">
        <v>0</v>
      </c>
      <c r="D184" s="18">
        <v>2</v>
      </c>
      <c r="E184" s="273">
        <v>0</v>
      </c>
      <c r="F184" s="18">
        <v>1</v>
      </c>
      <c r="G184" s="18">
        <v>2</v>
      </c>
      <c r="H184" s="18">
        <v>1</v>
      </c>
      <c r="I184" s="18">
        <v>1</v>
      </c>
      <c r="J184" s="18">
        <v>1</v>
      </c>
      <c r="K184" s="18">
        <v>1</v>
      </c>
      <c r="L184" s="18">
        <v>2</v>
      </c>
      <c r="M184" s="18">
        <v>1</v>
      </c>
      <c r="N184" s="177">
        <f t="shared" si="68"/>
        <v>12</v>
      </c>
      <c r="O184" s="19">
        <f t="shared" si="69"/>
        <v>1</v>
      </c>
      <c r="P184" s="8"/>
      <c r="Q184" s="8"/>
      <c r="R184" s="8"/>
      <c r="S184" s="8"/>
      <c r="T184" s="8"/>
      <c r="U184" s="8"/>
      <c r="V184" s="8"/>
      <c r="W184" s="8"/>
      <c r="X184" s="8"/>
      <c r="Y184" s="8"/>
      <c r="Z184" s="8"/>
    </row>
    <row r="185" spans="1:26" s="9" customFormat="1" ht="15.75">
      <c r="A185" s="33" t="s">
        <v>700</v>
      </c>
      <c r="B185" s="18">
        <v>1</v>
      </c>
      <c r="C185" s="18">
        <v>0</v>
      </c>
      <c r="D185" s="18">
        <v>0</v>
      </c>
      <c r="E185" s="273">
        <v>0</v>
      </c>
      <c r="F185" s="18">
        <v>0</v>
      </c>
      <c r="G185" s="18">
        <v>0</v>
      </c>
      <c r="H185" s="18">
        <v>0</v>
      </c>
      <c r="I185" s="18">
        <v>0</v>
      </c>
      <c r="J185" s="18">
        <v>0</v>
      </c>
      <c r="K185" s="18">
        <v>0</v>
      </c>
      <c r="L185" s="18">
        <v>1</v>
      </c>
      <c r="M185" s="18">
        <v>1</v>
      </c>
      <c r="N185" s="177">
        <f t="shared" si="68"/>
        <v>3</v>
      </c>
      <c r="O185" s="19">
        <f t="shared" si="69"/>
        <v>0.25</v>
      </c>
      <c r="P185" s="8"/>
      <c r="Q185" s="8"/>
      <c r="R185" s="8"/>
      <c r="S185" s="8"/>
      <c r="T185" s="8"/>
      <c r="U185" s="8"/>
      <c r="V185" s="8"/>
      <c r="W185" s="8"/>
      <c r="X185" s="8"/>
      <c r="Y185" s="8"/>
      <c r="Z185" s="8"/>
    </row>
    <row r="186" spans="1:26" s="9" customFormat="1" ht="15.75">
      <c r="A186" s="33" t="s">
        <v>691</v>
      </c>
      <c r="B186" s="18">
        <v>2</v>
      </c>
      <c r="C186" s="18">
        <v>3</v>
      </c>
      <c r="D186" s="18">
        <v>1</v>
      </c>
      <c r="E186" s="18">
        <v>1</v>
      </c>
      <c r="F186" s="18">
        <v>2</v>
      </c>
      <c r="G186" s="18">
        <v>2</v>
      </c>
      <c r="H186" s="18">
        <v>0</v>
      </c>
      <c r="I186" s="18">
        <v>5</v>
      </c>
      <c r="J186" s="18">
        <v>2</v>
      </c>
      <c r="K186" s="18">
        <v>0</v>
      </c>
      <c r="L186" s="18">
        <v>0</v>
      </c>
      <c r="M186" s="18">
        <v>2</v>
      </c>
      <c r="N186" s="177">
        <f t="shared" si="68"/>
        <v>20</v>
      </c>
      <c r="O186" s="19">
        <f t="shared" si="69"/>
        <v>1.6666666666666667</v>
      </c>
      <c r="P186" s="8"/>
      <c r="Q186" s="8"/>
      <c r="R186" s="8"/>
      <c r="S186" s="8"/>
      <c r="T186" s="8"/>
      <c r="U186" s="8"/>
      <c r="V186" s="8"/>
      <c r="W186" s="8"/>
      <c r="X186" s="8"/>
      <c r="Y186" s="8"/>
      <c r="Z186" s="8"/>
    </row>
    <row r="187" spans="1:26" s="9" customFormat="1" ht="15.75">
      <c r="A187" s="33" t="s">
        <v>863</v>
      </c>
      <c r="B187" s="18">
        <v>0</v>
      </c>
      <c r="C187" s="18">
        <v>0</v>
      </c>
      <c r="D187" s="18">
        <v>0</v>
      </c>
      <c r="E187" s="273">
        <v>0</v>
      </c>
      <c r="F187" s="18">
        <v>2</v>
      </c>
      <c r="G187" s="18">
        <v>0</v>
      </c>
      <c r="H187" s="18">
        <v>0</v>
      </c>
      <c r="I187" s="18">
        <v>3</v>
      </c>
      <c r="J187" s="18">
        <v>0</v>
      </c>
      <c r="K187" s="18">
        <v>1</v>
      </c>
      <c r="L187" s="18">
        <v>1</v>
      </c>
      <c r="M187" s="18">
        <v>2</v>
      </c>
      <c r="N187" s="177">
        <f>SUM(B187:M187)</f>
        <v>9</v>
      </c>
      <c r="O187" s="19">
        <f>IF(N187=0,0,AVERAGE(B187:M187))</f>
        <v>0.75</v>
      </c>
      <c r="P187" s="8"/>
      <c r="Q187" s="8"/>
      <c r="R187" s="8"/>
      <c r="S187" s="8"/>
      <c r="T187" s="8"/>
      <c r="U187" s="8"/>
      <c r="V187" s="8"/>
      <c r="W187" s="8"/>
      <c r="X187" s="8"/>
      <c r="Y187" s="8"/>
      <c r="Z187" s="8"/>
    </row>
    <row r="188" spans="1:26" s="9" customFormat="1" ht="15.75">
      <c r="A188" s="33" t="s">
        <v>834</v>
      </c>
      <c r="B188" s="18">
        <v>0</v>
      </c>
      <c r="C188" s="18">
        <v>1</v>
      </c>
      <c r="D188" s="18">
        <v>0</v>
      </c>
      <c r="E188" s="273">
        <v>0</v>
      </c>
      <c r="F188" s="18">
        <v>1</v>
      </c>
      <c r="G188" s="18">
        <v>0</v>
      </c>
      <c r="H188" s="18">
        <v>0</v>
      </c>
      <c r="I188" s="18">
        <v>0</v>
      </c>
      <c r="J188" s="18">
        <v>1</v>
      </c>
      <c r="K188" s="18">
        <v>0</v>
      </c>
      <c r="L188" s="18">
        <v>0</v>
      </c>
      <c r="M188" s="35">
        <v>0</v>
      </c>
      <c r="N188" s="177">
        <f>SUM(B188:M188)</f>
        <v>3</v>
      </c>
      <c r="O188" s="19">
        <f>IF(N188=0,0,AVERAGE(B188:M188))</f>
        <v>0.25</v>
      </c>
      <c r="P188" s="8"/>
      <c r="Q188" s="8"/>
      <c r="R188" s="8"/>
      <c r="S188" s="8"/>
      <c r="T188" s="8"/>
      <c r="U188" s="8"/>
      <c r="V188" s="8"/>
      <c r="W188" s="8"/>
      <c r="X188" s="8"/>
      <c r="Y188" s="8"/>
      <c r="Z188" s="8"/>
    </row>
    <row r="189" spans="1:26" s="9" customFormat="1" ht="15.75">
      <c r="A189" s="33" t="s">
        <v>60</v>
      </c>
      <c r="B189" s="18">
        <v>4</v>
      </c>
      <c r="C189" s="18">
        <v>2</v>
      </c>
      <c r="D189" s="18">
        <v>3</v>
      </c>
      <c r="E189" s="18">
        <v>1</v>
      </c>
      <c r="F189" s="18">
        <v>2</v>
      </c>
      <c r="G189" s="18">
        <v>3</v>
      </c>
      <c r="H189" s="18">
        <v>7</v>
      </c>
      <c r="I189" s="18">
        <v>6</v>
      </c>
      <c r="J189" s="18">
        <v>6</v>
      </c>
      <c r="K189" s="18">
        <v>5</v>
      </c>
      <c r="L189" s="18">
        <v>2</v>
      </c>
      <c r="M189" s="18">
        <v>9</v>
      </c>
      <c r="N189" s="177">
        <f t="shared" si="68"/>
        <v>50</v>
      </c>
      <c r="O189" s="19">
        <f t="shared" si="69"/>
        <v>4.166666666666667</v>
      </c>
      <c r="P189" s="8"/>
      <c r="Q189" s="8"/>
      <c r="R189" s="8"/>
      <c r="S189" s="8"/>
      <c r="T189" s="8"/>
      <c r="U189" s="8"/>
      <c r="V189" s="8"/>
      <c r="W189" s="8"/>
      <c r="X189" s="8"/>
      <c r="Y189" s="8"/>
      <c r="Z189" s="8"/>
    </row>
    <row r="190" spans="1:26" s="9" customFormat="1" ht="15.75">
      <c r="A190" s="33" t="s">
        <v>579</v>
      </c>
      <c r="B190" s="18">
        <v>3</v>
      </c>
      <c r="C190" s="18">
        <v>0</v>
      </c>
      <c r="D190" s="18">
        <v>0</v>
      </c>
      <c r="E190" s="18">
        <v>1</v>
      </c>
      <c r="F190" s="18">
        <v>0</v>
      </c>
      <c r="G190" s="18">
        <v>2</v>
      </c>
      <c r="H190" s="18">
        <v>5</v>
      </c>
      <c r="I190" s="18">
        <v>1</v>
      </c>
      <c r="J190" s="18">
        <v>1</v>
      </c>
      <c r="K190" s="18">
        <v>3</v>
      </c>
      <c r="L190" s="18">
        <v>0</v>
      </c>
      <c r="M190" s="35">
        <v>0</v>
      </c>
      <c r="N190" s="177">
        <f t="shared" si="68"/>
        <v>16</v>
      </c>
      <c r="O190" s="19">
        <f t="shared" si="69"/>
        <v>1.3333333333333333</v>
      </c>
      <c r="P190" s="8"/>
      <c r="Q190" s="8"/>
      <c r="R190" s="8"/>
      <c r="S190" s="8"/>
      <c r="T190" s="8"/>
      <c r="U190" s="8"/>
      <c r="V190" s="8"/>
      <c r="W190" s="8"/>
      <c r="X190" s="8"/>
      <c r="Y190" s="8"/>
      <c r="Z190" s="8"/>
    </row>
    <row r="191" spans="1:26" s="9" customFormat="1" ht="15.75">
      <c r="A191" s="33" t="s">
        <v>854</v>
      </c>
      <c r="B191" s="18">
        <v>0</v>
      </c>
      <c r="C191" s="18">
        <v>0</v>
      </c>
      <c r="D191" s="18">
        <v>0</v>
      </c>
      <c r="E191" s="18">
        <v>1</v>
      </c>
      <c r="F191" s="18">
        <v>0</v>
      </c>
      <c r="G191" s="18">
        <v>0</v>
      </c>
      <c r="H191" s="18">
        <v>0</v>
      </c>
      <c r="I191" s="18">
        <v>0</v>
      </c>
      <c r="J191" s="18">
        <v>1</v>
      </c>
      <c r="K191" s="18">
        <v>0</v>
      </c>
      <c r="L191" s="18">
        <v>0</v>
      </c>
      <c r="M191" s="35">
        <v>0</v>
      </c>
      <c r="N191" s="177">
        <f t="shared" si="68"/>
        <v>2</v>
      </c>
      <c r="O191" s="19">
        <f t="shared" si="69"/>
        <v>0.16666666666666666</v>
      </c>
      <c r="P191" s="8"/>
      <c r="Q191" s="8"/>
      <c r="R191" s="8"/>
      <c r="S191" s="8"/>
      <c r="T191" s="8"/>
      <c r="U191" s="8"/>
      <c r="V191" s="8"/>
      <c r="W191" s="8"/>
      <c r="X191" s="8"/>
      <c r="Y191" s="8"/>
      <c r="Z191" s="8"/>
    </row>
    <row r="192" spans="1:26" s="9" customFormat="1" ht="15.75">
      <c r="A192" s="33" t="s">
        <v>718</v>
      </c>
      <c r="B192" s="18">
        <v>2</v>
      </c>
      <c r="C192" s="18">
        <v>0</v>
      </c>
      <c r="D192" s="18">
        <v>0</v>
      </c>
      <c r="E192" s="273">
        <v>0</v>
      </c>
      <c r="F192" s="18">
        <v>0</v>
      </c>
      <c r="G192" s="18">
        <v>1</v>
      </c>
      <c r="H192" s="18">
        <v>1</v>
      </c>
      <c r="I192" s="18">
        <v>1</v>
      </c>
      <c r="J192" s="18">
        <v>0</v>
      </c>
      <c r="K192" s="18">
        <v>0</v>
      </c>
      <c r="L192" s="18">
        <v>0</v>
      </c>
      <c r="M192" s="35">
        <v>0</v>
      </c>
      <c r="N192" s="177">
        <f t="shared" si="68"/>
        <v>5</v>
      </c>
      <c r="O192" s="19">
        <f t="shared" si="69"/>
        <v>0.41666666666666669</v>
      </c>
      <c r="P192" s="8"/>
      <c r="Q192" s="8"/>
      <c r="R192" s="8"/>
      <c r="S192" s="8"/>
      <c r="T192" s="8"/>
      <c r="U192" s="8"/>
      <c r="V192" s="8"/>
      <c r="W192" s="8"/>
      <c r="X192" s="8"/>
      <c r="Y192" s="8"/>
      <c r="Z192" s="8"/>
    </row>
    <row r="193" spans="1:26" s="9" customFormat="1" ht="15.75">
      <c r="A193" s="33" t="s">
        <v>835</v>
      </c>
      <c r="B193" s="18">
        <v>0</v>
      </c>
      <c r="C193" s="18">
        <v>2</v>
      </c>
      <c r="D193" s="18">
        <v>0</v>
      </c>
      <c r="E193" s="18">
        <v>1</v>
      </c>
      <c r="F193" s="18">
        <v>1</v>
      </c>
      <c r="G193" s="18">
        <v>2</v>
      </c>
      <c r="H193" s="18">
        <v>0</v>
      </c>
      <c r="I193" s="18">
        <v>3</v>
      </c>
      <c r="J193" s="18">
        <v>3</v>
      </c>
      <c r="K193" s="18">
        <v>0</v>
      </c>
      <c r="L193" s="18">
        <v>3</v>
      </c>
      <c r="M193" s="18">
        <v>1</v>
      </c>
      <c r="N193" s="177">
        <f t="shared" si="68"/>
        <v>16</v>
      </c>
      <c r="O193" s="19">
        <f t="shared" si="69"/>
        <v>1.3333333333333333</v>
      </c>
      <c r="P193" s="8"/>
      <c r="Q193" s="8"/>
      <c r="R193" s="8"/>
      <c r="S193" s="8"/>
      <c r="T193" s="8"/>
      <c r="U193" s="8"/>
      <c r="V193" s="8"/>
      <c r="W193" s="8"/>
      <c r="X193" s="8"/>
      <c r="Y193" s="8"/>
      <c r="Z193" s="8"/>
    </row>
    <row r="194" spans="1:26" s="9" customFormat="1" ht="15.75">
      <c r="A194" s="33" t="s">
        <v>836</v>
      </c>
      <c r="B194" s="18">
        <v>0</v>
      </c>
      <c r="C194" s="18">
        <v>2</v>
      </c>
      <c r="D194" s="18">
        <v>1</v>
      </c>
      <c r="E194" s="273">
        <v>0</v>
      </c>
      <c r="F194" s="18">
        <v>1</v>
      </c>
      <c r="G194" s="18">
        <v>1</v>
      </c>
      <c r="H194" s="18">
        <v>1</v>
      </c>
      <c r="I194" s="18">
        <v>0</v>
      </c>
      <c r="J194" s="18">
        <v>0</v>
      </c>
      <c r="K194" s="18">
        <v>0</v>
      </c>
      <c r="L194" s="18">
        <v>1</v>
      </c>
      <c r="M194" s="35">
        <v>0</v>
      </c>
      <c r="N194" s="177">
        <f t="shared" si="68"/>
        <v>7</v>
      </c>
      <c r="O194" s="19">
        <f t="shared" si="69"/>
        <v>0.58333333333333337</v>
      </c>
      <c r="P194" s="8"/>
      <c r="Q194" s="8"/>
      <c r="R194" s="8"/>
      <c r="S194" s="8"/>
      <c r="T194" s="8"/>
      <c r="U194" s="8"/>
      <c r="V194" s="8"/>
      <c r="W194" s="8"/>
      <c r="X194" s="8"/>
      <c r="Y194" s="8"/>
      <c r="Z194" s="8"/>
    </row>
    <row r="195" spans="1:26" s="9" customFormat="1" ht="15.75">
      <c r="A195" s="33" t="s">
        <v>692</v>
      </c>
      <c r="B195" s="18">
        <v>6</v>
      </c>
      <c r="C195" s="18">
        <v>7</v>
      </c>
      <c r="D195" s="18">
        <v>2</v>
      </c>
      <c r="E195" s="273">
        <v>0</v>
      </c>
      <c r="F195" s="18">
        <v>5</v>
      </c>
      <c r="G195" s="18">
        <v>2</v>
      </c>
      <c r="H195" s="18">
        <v>2</v>
      </c>
      <c r="I195" s="18">
        <v>2</v>
      </c>
      <c r="J195" s="18">
        <v>3</v>
      </c>
      <c r="K195" s="18">
        <v>0</v>
      </c>
      <c r="L195" s="18">
        <v>2</v>
      </c>
      <c r="M195" s="18">
        <v>1</v>
      </c>
      <c r="N195" s="177">
        <f t="shared" si="68"/>
        <v>32</v>
      </c>
      <c r="O195" s="19">
        <f t="shared" si="69"/>
        <v>2.6666666666666665</v>
      </c>
      <c r="P195" s="8"/>
      <c r="Q195" s="8"/>
      <c r="R195" s="8"/>
      <c r="S195" s="8"/>
      <c r="T195" s="8"/>
      <c r="U195" s="8"/>
      <c r="V195" s="8"/>
      <c r="W195" s="8"/>
      <c r="X195" s="8"/>
      <c r="Y195" s="8"/>
      <c r="Z195" s="8"/>
    </row>
    <row r="196" spans="1:26" s="9" customFormat="1" ht="15.75">
      <c r="A196" s="33" t="s">
        <v>729</v>
      </c>
      <c r="B196" s="18">
        <v>1</v>
      </c>
      <c r="C196" s="18">
        <v>1</v>
      </c>
      <c r="D196" s="18">
        <v>0</v>
      </c>
      <c r="E196" s="273">
        <v>0</v>
      </c>
      <c r="F196" s="18">
        <v>1</v>
      </c>
      <c r="G196" s="18">
        <v>1</v>
      </c>
      <c r="H196" s="18">
        <v>0</v>
      </c>
      <c r="I196" s="18">
        <v>0</v>
      </c>
      <c r="J196" s="18">
        <v>1</v>
      </c>
      <c r="K196" s="18">
        <v>0</v>
      </c>
      <c r="L196" s="18">
        <v>0</v>
      </c>
      <c r="M196" s="35">
        <v>0</v>
      </c>
      <c r="N196" s="177">
        <f t="shared" si="68"/>
        <v>5</v>
      </c>
      <c r="O196" s="19">
        <f t="shared" si="69"/>
        <v>0.41666666666666669</v>
      </c>
      <c r="P196" s="8"/>
      <c r="Q196" s="8"/>
      <c r="R196" s="8"/>
      <c r="S196" s="8"/>
      <c r="T196" s="8"/>
      <c r="U196" s="8"/>
      <c r="V196" s="8"/>
      <c r="W196" s="8"/>
      <c r="X196" s="8"/>
      <c r="Y196" s="8"/>
      <c r="Z196" s="8"/>
    </row>
    <row r="197" spans="1:26" s="9" customFormat="1" ht="15.75">
      <c r="A197" s="33" t="s">
        <v>837</v>
      </c>
      <c r="B197" s="18">
        <v>0</v>
      </c>
      <c r="C197" s="18">
        <v>1</v>
      </c>
      <c r="D197" s="18">
        <v>0</v>
      </c>
      <c r="E197" s="273">
        <v>0</v>
      </c>
      <c r="F197" s="18">
        <v>0</v>
      </c>
      <c r="G197" s="18">
        <v>1</v>
      </c>
      <c r="H197" s="18">
        <v>0</v>
      </c>
      <c r="I197" s="18">
        <v>2</v>
      </c>
      <c r="J197" s="18">
        <v>0</v>
      </c>
      <c r="K197" s="18">
        <v>1</v>
      </c>
      <c r="L197" s="18">
        <v>0</v>
      </c>
      <c r="M197" s="18">
        <v>1</v>
      </c>
      <c r="N197" s="177">
        <f t="shared" si="68"/>
        <v>6</v>
      </c>
      <c r="O197" s="19">
        <f t="shared" si="69"/>
        <v>0.5</v>
      </c>
      <c r="P197" s="8"/>
      <c r="Q197" s="8"/>
      <c r="R197" s="8"/>
      <c r="S197" s="8"/>
      <c r="T197" s="8"/>
      <c r="U197" s="8"/>
      <c r="V197" s="8"/>
      <c r="W197" s="8"/>
      <c r="X197" s="8"/>
      <c r="Y197" s="8"/>
      <c r="Z197" s="8"/>
    </row>
    <row r="198" spans="1:26" s="9" customFormat="1" ht="15.75">
      <c r="A198" s="33" t="s">
        <v>697</v>
      </c>
      <c r="B198" s="18">
        <v>1</v>
      </c>
      <c r="C198" s="18">
        <v>0</v>
      </c>
      <c r="D198" s="18">
        <v>1</v>
      </c>
      <c r="E198" s="273">
        <v>0</v>
      </c>
      <c r="F198" s="18">
        <v>0</v>
      </c>
      <c r="G198" s="18">
        <v>1</v>
      </c>
      <c r="H198" s="18">
        <v>0</v>
      </c>
      <c r="I198" s="18">
        <v>1</v>
      </c>
      <c r="J198" s="18">
        <v>4</v>
      </c>
      <c r="K198" s="18">
        <v>3</v>
      </c>
      <c r="L198" s="18">
        <v>2</v>
      </c>
      <c r="M198" s="18">
        <v>5</v>
      </c>
      <c r="N198" s="177">
        <f t="shared" si="68"/>
        <v>18</v>
      </c>
      <c r="O198" s="19">
        <f t="shared" si="69"/>
        <v>1.5</v>
      </c>
      <c r="P198" s="8"/>
      <c r="Q198" s="8"/>
      <c r="R198" s="8"/>
      <c r="S198" s="8"/>
      <c r="T198" s="8"/>
      <c r="U198" s="8"/>
      <c r="V198" s="8"/>
      <c r="W198" s="8"/>
      <c r="X198" s="8"/>
      <c r="Y198" s="8"/>
      <c r="Z198" s="8"/>
    </row>
    <row r="199" spans="1:26" s="9" customFormat="1" ht="15.75">
      <c r="A199" s="33" t="s">
        <v>363</v>
      </c>
      <c r="B199" s="18">
        <v>1</v>
      </c>
      <c r="C199" s="18">
        <v>3</v>
      </c>
      <c r="D199" s="18">
        <v>0</v>
      </c>
      <c r="E199" s="273">
        <v>0</v>
      </c>
      <c r="F199" s="18">
        <v>1</v>
      </c>
      <c r="G199" s="18">
        <v>0</v>
      </c>
      <c r="H199" s="18">
        <v>3</v>
      </c>
      <c r="I199" s="18">
        <v>2</v>
      </c>
      <c r="J199" s="18">
        <v>1</v>
      </c>
      <c r="K199" s="18">
        <v>0</v>
      </c>
      <c r="L199" s="18">
        <v>0</v>
      </c>
      <c r="M199" s="35">
        <v>0</v>
      </c>
      <c r="N199" s="177">
        <f t="shared" si="68"/>
        <v>11</v>
      </c>
      <c r="O199" s="19">
        <f t="shared" si="69"/>
        <v>0.91666666666666663</v>
      </c>
      <c r="P199" s="8"/>
      <c r="Q199" s="8"/>
      <c r="R199" s="8"/>
      <c r="S199" s="8"/>
      <c r="T199" s="8"/>
      <c r="U199" s="8"/>
      <c r="V199" s="8"/>
      <c r="W199" s="8"/>
      <c r="X199" s="8"/>
      <c r="Y199" s="8"/>
      <c r="Z199" s="8"/>
    </row>
    <row r="200" spans="1:26" s="9" customFormat="1" ht="15.75">
      <c r="A200" s="33" t="s">
        <v>872</v>
      </c>
      <c r="B200" s="18">
        <v>0</v>
      </c>
      <c r="C200" s="18">
        <v>0</v>
      </c>
      <c r="D200" s="18">
        <v>0</v>
      </c>
      <c r="E200" s="273">
        <v>0</v>
      </c>
      <c r="F200" s="18">
        <v>0</v>
      </c>
      <c r="G200" s="18">
        <v>0</v>
      </c>
      <c r="H200" s="18">
        <v>1</v>
      </c>
      <c r="I200" s="18">
        <v>0</v>
      </c>
      <c r="J200" s="18">
        <v>0</v>
      </c>
      <c r="K200" s="18">
        <v>1</v>
      </c>
      <c r="L200" s="18">
        <v>0</v>
      </c>
      <c r="M200" s="35">
        <v>0</v>
      </c>
      <c r="N200" s="177">
        <f t="shared" si="68"/>
        <v>2</v>
      </c>
      <c r="O200" s="19">
        <f t="shared" si="69"/>
        <v>0.16666666666666666</v>
      </c>
      <c r="P200" s="8"/>
      <c r="Q200" s="8"/>
      <c r="R200" s="8"/>
      <c r="S200" s="8"/>
      <c r="T200" s="8"/>
      <c r="U200" s="8"/>
      <c r="V200" s="8"/>
      <c r="W200" s="8"/>
      <c r="X200" s="8"/>
      <c r="Y200" s="8"/>
      <c r="Z200" s="8"/>
    </row>
    <row r="201" spans="1:26" s="9" customFormat="1" ht="15.75">
      <c r="A201" s="33" t="s">
        <v>711</v>
      </c>
      <c r="B201" s="18">
        <v>2</v>
      </c>
      <c r="C201" s="18">
        <v>1</v>
      </c>
      <c r="D201" s="18">
        <v>1</v>
      </c>
      <c r="E201" s="18">
        <v>1</v>
      </c>
      <c r="F201" s="18">
        <v>2</v>
      </c>
      <c r="G201" s="18">
        <v>0</v>
      </c>
      <c r="H201" s="18">
        <v>1</v>
      </c>
      <c r="I201" s="18">
        <v>5</v>
      </c>
      <c r="J201" s="18">
        <v>1</v>
      </c>
      <c r="K201" s="18">
        <v>3</v>
      </c>
      <c r="L201" s="18">
        <v>4</v>
      </c>
      <c r="M201" s="18">
        <v>1</v>
      </c>
      <c r="N201" s="177">
        <f t="shared" si="68"/>
        <v>22</v>
      </c>
      <c r="O201" s="19">
        <f t="shared" si="69"/>
        <v>1.8333333333333333</v>
      </c>
      <c r="P201" s="8"/>
      <c r="Q201" s="8"/>
      <c r="R201" s="8"/>
      <c r="S201" s="8"/>
      <c r="T201" s="8"/>
      <c r="U201" s="8"/>
      <c r="V201" s="8"/>
      <c r="W201" s="8"/>
      <c r="X201" s="8"/>
      <c r="Y201" s="8"/>
      <c r="Z201" s="8"/>
    </row>
    <row r="202" spans="1:26" s="9" customFormat="1" ht="15.75">
      <c r="A202" s="33" t="s">
        <v>849</v>
      </c>
      <c r="B202" s="18">
        <v>0</v>
      </c>
      <c r="C202" s="18">
        <v>0</v>
      </c>
      <c r="D202" s="18">
        <v>1</v>
      </c>
      <c r="E202" s="18">
        <v>1</v>
      </c>
      <c r="F202" s="18">
        <v>1</v>
      </c>
      <c r="G202" s="18">
        <v>0</v>
      </c>
      <c r="H202" s="18">
        <v>1</v>
      </c>
      <c r="I202" s="18">
        <v>0</v>
      </c>
      <c r="J202" s="18">
        <v>0</v>
      </c>
      <c r="K202" s="18">
        <v>1</v>
      </c>
      <c r="L202" s="18">
        <v>0</v>
      </c>
      <c r="M202" s="35">
        <v>0</v>
      </c>
      <c r="N202" s="177">
        <f t="shared" si="68"/>
        <v>5</v>
      </c>
      <c r="O202" s="19">
        <f t="shared" si="69"/>
        <v>0.41666666666666669</v>
      </c>
      <c r="P202" s="8"/>
      <c r="Q202" s="8"/>
      <c r="R202" s="8"/>
      <c r="S202" s="8"/>
      <c r="T202" s="8"/>
      <c r="U202" s="8"/>
      <c r="V202" s="8"/>
      <c r="W202" s="8"/>
      <c r="X202" s="8"/>
      <c r="Y202" s="8"/>
      <c r="Z202" s="8"/>
    </row>
    <row r="203" spans="1:26" s="9" customFormat="1" ht="15.75">
      <c r="A203" s="33" t="s">
        <v>880</v>
      </c>
      <c r="B203" s="18">
        <v>0</v>
      </c>
      <c r="C203" s="18">
        <v>0</v>
      </c>
      <c r="D203" s="18">
        <v>0</v>
      </c>
      <c r="E203" s="273">
        <v>0</v>
      </c>
      <c r="F203" s="18">
        <v>0</v>
      </c>
      <c r="G203" s="18">
        <v>0</v>
      </c>
      <c r="H203" s="18">
        <v>0</v>
      </c>
      <c r="I203" s="18">
        <v>0</v>
      </c>
      <c r="J203" s="18">
        <v>0</v>
      </c>
      <c r="K203" s="18">
        <v>1</v>
      </c>
      <c r="L203" s="18">
        <v>0</v>
      </c>
      <c r="M203" s="35">
        <v>1</v>
      </c>
      <c r="N203" s="177">
        <f t="shared" si="68"/>
        <v>2</v>
      </c>
      <c r="O203" s="19">
        <f t="shared" si="69"/>
        <v>0.16666666666666666</v>
      </c>
      <c r="P203" s="8"/>
      <c r="Q203" s="8"/>
      <c r="R203" s="8"/>
      <c r="S203" s="8"/>
      <c r="T203" s="8"/>
      <c r="U203" s="8"/>
      <c r="V203" s="8"/>
      <c r="W203" s="8"/>
      <c r="X203" s="8"/>
      <c r="Y203" s="8"/>
      <c r="Z203" s="8"/>
    </row>
    <row r="204" spans="1:26" s="9" customFormat="1" ht="15.75">
      <c r="A204" s="33" t="s">
        <v>850</v>
      </c>
      <c r="B204" s="18">
        <v>0</v>
      </c>
      <c r="C204" s="18">
        <v>0</v>
      </c>
      <c r="D204" s="18">
        <v>1</v>
      </c>
      <c r="E204" s="273">
        <v>0</v>
      </c>
      <c r="F204" s="18">
        <v>0</v>
      </c>
      <c r="G204" s="18">
        <v>0</v>
      </c>
      <c r="H204" s="18">
        <v>0</v>
      </c>
      <c r="I204" s="18">
        <v>0</v>
      </c>
      <c r="J204" s="18">
        <v>0</v>
      </c>
      <c r="K204" s="18">
        <v>0</v>
      </c>
      <c r="L204" s="18">
        <v>0</v>
      </c>
      <c r="M204" s="35">
        <v>1</v>
      </c>
      <c r="N204" s="177">
        <f t="shared" si="68"/>
        <v>2</v>
      </c>
      <c r="O204" s="19">
        <f t="shared" si="69"/>
        <v>0.16666666666666666</v>
      </c>
      <c r="P204" s="8"/>
      <c r="Q204" s="8"/>
      <c r="R204" s="8"/>
      <c r="S204" s="8"/>
      <c r="T204" s="8"/>
      <c r="U204" s="8"/>
      <c r="V204" s="8"/>
      <c r="W204" s="8"/>
      <c r="X204" s="8"/>
      <c r="Y204" s="8"/>
      <c r="Z204" s="8"/>
    </row>
    <row r="205" spans="1:26" s="9" customFormat="1" ht="15.75">
      <c r="A205" s="33" t="s">
        <v>22</v>
      </c>
      <c r="B205" s="18">
        <v>0</v>
      </c>
      <c r="C205" s="18">
        <v>0</v>
      </c>
      <c r="D205" s="18">
        <v>0</v>
      </c>
      <c r="E205" s="273">
        <v>0</v>
      </c>
      <c r="F205" s="18">
        <v>0</v>
      </c>
      <c r="G205" s="18">
        <v>0</v>
      </c>
      <c r="H205" s="18">
        <v>0</v>
      </c>
      <c r="I205" s="18">
        <v>3</v>
      </c>
      <c r="J205" s="18">
        <v>0</v>
      </c>
      <c r="K205" s="18">
        <v>0</v>
      </c>
      <c r="L205" s="18">
        <v>0</v>
      </c>
      <c r="M205" s="35">
        <v>0</v>
      </c>
      <c r="N205" s="177">
        <f t="shared" si="68"/>
        <v>3</v>
      </c>
      <c r="O205" s="19">
        <f t="shared" si="69"/>
        <v>0.25</v>
      </c>
      <c r="P205" s="8"/>
      <c r="Q205" s="8"/>
      <c r="R205" s="8"/>
      <c r="S205" s="8"/>
      <c r="T205" s="8"/>
      <c r="U205" s="8"/>
      <c r="V205" s="8"/>
      <c r="W205" s="8"/>
      <c r="X205" s="8"/>
      <c r="Y205" s="8"/>
      <c r="Z205" s="8"/>
    </row>
    <row r="206" spans="1:26" s="9" customFormat="1" ht="15.75">
      <c r="A206" s="20" t="s">
        <v>21</v>
      </c>
      <c r="B206" s="21">
        <f t="shared" ref="B206:L206" si="72">IF(SUM(B88:B205)=0,"",SUM(B88:B205))</f>
        <v>198</v>
      </c>
      <c r="C206" s="21">
        <f t="shared" si="72"/>
        <v>215</v>
      </c>
      <c r="D206" s="21">
        <f t="shared" si="72"/>
        <v>179</v>
      </c>
      <c r="E206" s="21">
        <f t="shared" si="72"/>
        <v>110</v>
      </c>
      <c r="F206" s="21">
        <f t="shared" si="72"/>
        <v>226</v>
      </c>
      <c r="G206" s="21">
        <f t="shared" si="72"/>
        <v>214</v>
      </c>
      <c r="H206" s="21">
        <f t="shared" si="72"/>
        <v>241</v>
      </c>
      <c r="I206" s="21">
        <f t="shared" si="72"/>
        <v>243</v>
      </c>
      <c r="J206" s="21">
        <f t="shared" si="72"/>
        <v>225</v>
      </c>
      <c r="K206" s="21">
        <f t="shared" si="72"/>
        <v>232</v>
      </c>
      <c r="L206" s="21">
        <f t="shared" si="72"/>
        <v>224</v>
      </c>
      <c r="M206" s="21">
        <f>IF(SUM(M88:M205)=0,"",SUM(M88:M205))</f>
        <v>235</v>
      </c>
      <c r="N206" s="128">
        <f>SUM(N88:N205)</f>
        <v>2542</v>
      </c>
      <c r="O206" s="22">
        <f>SUM(O88:O205)</f>
        <v>211.84090909090904</v>
      </c>
      <c r="P206" s="8"/>
      <c r="Q206" s="8"/>
      <c r="R206" s="8"/>
      <c r="S206" s="8"/>
      <c r="T206" s="8"/>
      <c r="U206" s="8"/>
      <c r="V206" s="8"/>
      <c r="W206" s="8"/>
      <c r="X206" s="8"/>
      <c r="Y206" s="8"/>
      <c r="Z206" s="8"/>
    </row>
    <row r="207" spans="1:26" s="9" customFormat="1">
      <c r="A207" s="23"/>
      <c r="B207" s="24"/>
      <c r="C207" s="24"/>
      <c r="D207" s="24"/>
      <c r="E207" s="25"/>
      <c r="F207" s="25"/>
      <c r="G207" s="25"/>
      <c r="H207" s="25"/>
      <c r="I207" s="25"/>
      <c r="J207" s="25"/>
      <c r="K207" s="25"/>
      <c r="L207" s="25"/>
      <c r="M207" s="25"/>
      <c r="N207" s="134"/>
      <c r="O207" s="13"/>
      <c r="P207" s="8"/>
      <c r="Q207" s="8"/>
      <c r="R207" s="8"/>
      <c r="S207" s="8"/>
      <c r="T207" s="8"/>
      <c r="U207" s="8"/>
      <c r="V207" s="8"/>
      <c r="W207" s="8"/>
      <c r="X207" s="8"/>
      <c r="Y207" s="8"/>
      <c r="Z207" s="8"/>
    </row>
    <row r="208" spans="1:26" s="9" customFormat="1" ht="15.75">
      <c r="A208" s="165" t="s">
        <v>61</v>
      </c>
      <c r="B208" s="166"/>
      <c r="C208" s="166"/>
      <c r="D208" s="166"/>
      <c r="E208" s="166"/>
      <c r="F208" s="166"/>
      <c r="G208" s="166"/>
      <c r="H208" s="166"/>
      <c r="I208" s="166"/>
      <c r="J208" s="166"/>
      <c r="K208" s="166"/>
      <c r="L208" s="166"/>
      <c r="M208" s="166"/>
      <c r="N208" s="167"/>
      <c r="O208" s="168"/>
      <c r="P208" s="8"/>
      <c r="Q208" s="8"/>
      <c r="R208" s="8"/>
      <c r="S208" s="8"/>
      <c r="T208" s="8"/>
      <c r="U208" s="8"/>
      <c r="V208" s="8"/>
      <c r="W208" s="8"/>
      <c r="X208" s="8"/>
      <c r="Y208" s="8"/>
      <c r="Z208" s="8"/>
    </row>
    <row r="209" spans="1:26" s="9" customFormat="1" ht="15.75">
      <c r="A209" s="34" t="s">
        <v>308</v>
      </c>
      <c r="B209" s="18">
        <v>4</v>
      </c>
      <c r="C209" s="18">
        <v>9</v>
      </c>
      <c r="D209" s="18">
        <v>5</v>
      </c>
      <c r="E209" s="18">
        <v>0</v>
      </c>
      <c r="F209" s="18">
        <v>0</v>
      </c>
      <c r="G209" s="18">
        <v>9</v>
      </c>
      <c r="H209" s="35">
        <v>11</v>
      </c>
      <c r="I209" s="35">
        <v>23</v>
      </c>
      <c r="J209" s="18">
        <v>10</v>
      </c>
      <c r="K209" s="18">
        <v>5</v>
      </c>
      <c r="L209" s="18">
        <v>1</v>
      </c>
      <c r="M209" s="18">
        <v>14</v>
      </c>
      <c r="N209" s="133">
        <f>SUM(B209:M209)</f>
        <v>91</v>
      </c>
      <c r="O209" s="19">
        <f>IF(N209=0,0,AVERAGE(B209:M209))</f>
        <v>7.583333333333333</v>
      </c>
      <c r="P209" s="8"/>
      <c r="Q209" s="8"/>
      <c r="R209" s="8"/>
      <c r="S209" s="8"/>
      <c r="T209" s="8"/>
      <c r="U209" s="8"/>
      <c r="V209" s="8"/>
      <c r="W209" s="8"/>
      <c r="X209" s="8"/>
      <c r="Y209" s="8"/>
      <c r="Z209" s="8"/>
    </row>
    <row r="210" spans="1:26" s="9" customFormat="1" ht="15.75">
      <c r="A210" s="34" t="s">
        <v>62</v>
      </c>
      <c r="B210" s="18">
        <v>17</v>
      </c>
      <c r="C210" s="18">
        <v>17</v>
      </c>
      <c r="D210" s="18">
        <v>11</v>
      </c>
      <c r="E210" s="18">
        <v>9</v>
      </c>
      <c r="F210" s="18">
        <v>17</v>
      </c>
      <c r="G210" s="18">
        <v>17</v>
      </c>
      <c r="H210" s="35">
        <v>23</v>
      </c>
      <c r="I210" s="35">
        <v>29</v>
      </c>
      <c r="J210" s="18">
        <v>18</v>
      </c>
      <c r="K210" s="18">
        <v>16</v>
      </c>
      <c r="L210" s="18">
        <v>29</v>
      </c>
      <c r="M210" s="18">
        <v>21</v>
      </c>
      <c r="N210" s="133">
        <f t="shared" ref="N210:N216" si="73">SUM(B210:M210)</f>
        <v>224</v>
      </c>
      <c r="O210" s="19">
        <f t="shared" ref="O210:O216" si="74">IF(N210=0,0,AVERAGE(B210:M210))</f>
        <v>18.666666666666668</v>
      </c>
      <c r="P210" s="8"/>
      <c r="Q210" s="8"/>
      <c r="R210" s="8"/>
      <c r="S210" s="8"/>
      <c r="T210" s="8"/>
      <c r="U210" s="8"/>
      <c r="V210" s="8"/>
      <c r="W210" s="8"/>
      <c r="X210" s="8"/>
      <c r="Y210" s="8"/>
      <c r="Z210" s="8"/>
    </row>
    <row r="211" spans="1:26" s="9" customFormat="1" ht="15.75">
      <c r="A211" s="34" t="s">
        <v>63</v>
      </c>
      <c r="B211" s="18">
        <v>36</v>
      </c>
      <c r="C211" s="18">
        <v>39</v>
      </c>
      <c r="D211" s="18">
        <v>27</v>
      </c>
      <c r="E211" s="18">
        <v>14</v>
      </c>
      <c r="F211" s="18">
        <v>37</v>
      </c>
      <c r="G211" s="18">
        <v>31</v>
      </c>
      <c r="H211" s="36">
        <v>49</v>
      </c>
      <c r="I211" s="36">
        <v>38</v>
      </c>
      <c r="J211" s="18">
        <v>49</v>
      </c>
      <c r="K211" s="18">
        <v>39</v>
      </c>
      <c r="L211" s="18">
        <v>34</v>
      </c>
      <c r="M211" s="18">
        <v>33</v>
      </c>
      <c r="N211" s="133">
        <f t="shared" si="73"/>
        <v>426</v>
      </c>
      <c r="O211" s="19">
        <f t="shared" si="74"/>
        <v>35.5</v>
      </c>
      <c r="P211" s="8"/>
      <c r="Q211" s="8"/>
      <c r="R211" s="8"/>
      <c r="S211" s="8"/>
      <c r="T211" s="8"/>
      <c r="U211" s="8"/>
      <c r="V211" s="8"/>
      <c r="W211" s="8"/>
      <c r="X211" s="8"/>
      <c r="Y211" s="8"/>
      <c r="Z211" s="8"/>
    </row>
    <row r="212" spans="1:26" s="9" customFormat="1" ht="15.75">
      <c r="A212" s="34" t="s">
        <v>64</v>
      </c>
      <c r="B212" s="18">
        <v>47</v>
      </c>
      <c r="C212" s="18">
        <v>51</v>
      </c>
      <c r="D212" s="18">
        <v>44</v>
      </c>
      <c r="E212" s="18">
        <v>17</v>
      </c>
      <c r="F212" s="18">
        <v>55</v>
      </c>
      <c r="G212" s="18">
        <v>53</v>
      </c>
      <c r="H212" s="18">
        <v>38</v>
      </c>
      <c r="I212" s="18">
        <v>43</v>
      </c>
      <c r="J212" s="18">
        <v>60</v>
      </c>
      <c r="K212" s="18">
        <v>49</v>
      </c>
      <c r="L212" s="18">
        <v>58</v>
      </c>
      <c r="M212" s="18">
        <v>55</v>
      </c>
      <c r="N212" s="133">
        <f t="shared" si="73"/>
        <v>570</v>
      </c>
      <c r="O212" s="19">
        <f t="shared" si="74"/>
        <v>47.5</v>
      </c>
      <c r="P212" s="8"/>
      <c r="Q212" s="8"/>
      <c r="R212" s="8"/>
      <c r="S212" s="8"/>
      <c r="T212" s="8"/>
      <c r="U212" s="8"/>
      <c r="V212" s="8"/>
      <c r="W212" s="8"/>
      <c r="X212" s="8"/>
      <c r="Y212" s="8"/>
      <c r="Z212" s="8"/>
    </row>
    <row r="213" spans="1:26" s="9" customFormat="1" ht="15.75">
      <c r="A213" s="34" t="s">
        <v>65</v>
      </c>
      <c r="B213" s="18">
        <v>49</v>
      </c>
      <c r="C213" s="18">
        <v>44</v>
      </c>
      <c r="D213" s="18">
        <v>38</v>
      </c>
      <c r="E213" s="18">
        <v>27</v>
      </c>
      <c r="F213" s="18">
        <v>44</v>
      </c>
      <c r="G213" s="18">
        <v>51</v>
      </c>
      <c r="H213" s="18">
        <v>44</v>
      </c>
      <c r="I213" s="18">
        <v>40</v>
      </c>
      <c r="J213" s="18">
        <v>40</v>
      </c>
      <c r="K213" s="18">
        <v>50</v>
      </c>
      <c r="L213" s="18">
        <v>34</v>
      </c>
      <c r="M213" s="18">
        <v>40</v>
      </c>
      <c r="N213" s="133">
        <f t="shared" si="73"/>
        <v>501</v>
      </c>
      <c r="O213" s="19">
        <f t="shared" si="74"/>
        <v>41.75</v>
      </c>
      <c r="P213" s="8"/>
      <c r="Q213" s="8"/>
      <c r="R213" s="8"/>
      <c r="S213" s="8"/>
      <c r="T213" s="8"/>
      <c r="U213" s="8"/>
      <c r="V213" s="8"/>
      <c r="W213" s="8"/>
      <c r="X213" s="8"/>
      <c r="Y213" s="8"/>
      <c r="Z213" s="8"/>
    </row>
    <row r="214" spans="1:26" s="9" customFormat="1" ht="15.75">
      <c r="A214" s="34" t="s">
        <v>66</v>
      </c>
      <c r="B214" s="18">
        <v>28</v>
      </c>
      <c r="C214" s="18">
        <v>30</v>
      </c>
      <c r="D214" s="18">
        <v>34</v>
      </c>
      <c r="E214" s="18">
        <v>29</v>
      </c>
      <c r="F214" s="18">
        <v>42</v>
      </c>
      <c r="G214" s="18">
        <v>29</v>
      </c>
      <c r="H214" s="18">
        <v>39</v>
      </c>
      <c r="I214" s="18">
        <v>51</v>
      </c>
      <c r="J214" s="18">
        <v>34</v>
      </c>
      <c r="K214" s="18">
        <v>40</v>
      </c>
      <c r="L214" s="18">
        <v>44</v>
      </c>
      <c r="M214" s="18">
        <v>37</v>
      </c>
      <c r="N214" s="133">
        <f t="shared" si="73"/>
        <v>437</v>
      </c>
      <c r="O214" s="19">
        <f t="shared" si="74"/>
        <v>36.416666666666664</v>
      </c>
      <c r="P214" s="10"/>
      <c r="Q214" s="10"/>
      <c r="R214" s="10"/>
      <c r="S214" s="10"/>
      <c r="T214" s="10"/>
      <c r="U214" s="10"/>
      <c r="V214" s="10"/>
      <c r="W214" s="10"/>
      <c r="X214" s="10"/>
      <c r="Y214" s="10"/>
      <c r="Z214" s="10"/>
    </row>
    <row r="215" spans="1:26" s="9" customFormat="1" ht="15.75">
      <c r="A215" s="34" t="s">
        <v>67</v>
      </c>
      <c r="B215" s="18">
        <v>13</v>
      </c>
      <c r="C215" s="18">
        <v>21</v>
      </c>
      <c r="D215" s="18">
        <v>16</v>
      </c>
      <c r="E215" s="18">
        <v>9</v>
      </c>
      <c r="F215" s="18">
        <v>20</v>
      </c>
      <c r="G215" s="18">
        <v>18</v>
      </c>
      <c r="H215" s="18">
        <v>24</v>
      </c>
      <c r="I215" s="18">
        <v>14</v>
      </c>
      <c r="J215" s="18">
        <v>5</v>
      </c>
      <c r="K215" s="18">
        <v>23</v>
      </c>
      <c r="L215" s="18">
        <v>20</v>
      </c>
      <c r="M215" s="18">
        <v>26</v>
      </c>
      <c r="N215" s="133">
        <f t="shared" si="73"/>
        <v>209</v>
      </c>
      <c r="O215" s="19">
        <f t="shared" si="74"/>
        <v>17.416666666666668</v>
      </c>
      <c r="P215" s="8"/>
      <c r="Q215" s="8"/>
      <c r="R215" s="8"/>
      <c r="S215" s="8"/>
      <c r="T215" s="8"/>
      <c r="U215" s="8"/>
      <c r="V215" s="8"/>
      <c r="W215" s="8"/>
      <c r="X215" s="8"/>
      <c r="Y215" s="8"/>
      <c r="Z215" s="8"/>
    </row>
    <row r="216" spans="1:26" s="9" customFormat="1" ht="15.75">
      <c r="A216" s="34" t="s">
        <v>68</v>
      </c>
      <c r="B216" s="18">
        <v>4</v>
      </c>
      <c r="C216" s="18">
        <v>4</v>
      </c>
      <c r="D216" s="18">
        <v>4</v>
      </c>
      <c r="E216" s="18">
        <v>5</v>
      </c>
      <c r="F216" s="18">
        <v>11</v>
      </c>
      <c r="G216" s="18">
        <v>6</v>
      </c>
      <c r="H216" s="18">
        <v>13</v>
      </c>
      <c r="I216" s="18">
        <v>5</v>
      </c>
      <c r="J216" s="18">
        <v>9</v>
      </c>
      <c r="K216" s="18">
        <v>10</v>
      </c>
      <c r="L216" s="18">
        <v>4</v>
      </c>
      <c r="M216" s="18">
        <v>9</v>
      </c>
      <c r="N216" s="133">
        <f t="shared" si="73"/>
        <v>84</v>
      </c>
      <c r="O216" s="19">
        <f t="shared" si="74"/>
        <v>7</v>
      </c>
      <c r="P216" s="10"/>
      <c r="Q216" s="10"/>
      <c r="R216" s="10"/>
      <c r="S216" s="10"/>
      <c r="T216" s="10"/>
      <c r="U216" s="10"/>
      <c r="V216" s="10"/>
      <c r="W216" s="10"/>
      <c r="X216" s="10"/>
      <c r="Y216" s="10"/>
      <c r="Z216" s="10"/>
    </row>
    <row r="217" spans="1:26" s="9" customFormat="1" ht="15.75">
      <c r="A217" s="20" t="s">
        <v>21</v>
      </c>
      <c r="B217" s="21">
        <f t="shared" ref="B217:M217" si="75">IF(SUM(B209:B216)=0,"",SUM(B209:B216))</f>
        <v>198</v>
      </c>
      <c r="C217" s="21">
        <f t="shared" si="75"/>
        <v>215</v>
      </c>
      <c r="D217" s="21">
        <f t="shared" si="75"/>
        <v>179</v>
      </c>
      <c r="E217" s="21">
        <f t="shared" si="75"/>
        <v>110</v>
      </c>
      <c r="F217" s="21">
        <f t="shared" si="75"/>
        <v>226</v>
      </c>
      <c r="G217" s="21">
        <f t="shared" si="75"/>
        <v>214</v>
      </c>
      <c r="H217" s="21">
        <f t="shared" si="75"/>
        <v>241</v>
      </c>
      <c r="I217" s="21">
        <f t="shared" si="75"/>
        <v>243</v>
      </c>
      <c r="J217" s="21">
        <f t="shared" si="75"/>
        <v>225</v>
      </c>
      <c r="K217" s="21">
        <f t="shared" si="75"/>
        <v>232</v>
      </c>
      <c r="L217" s="21">
        <f t="shared" si="75"/>
        <v>224</v>
      </c>
      <c r="M217" s="21">
        <f t="shared" si="75"/>
        <v>235</v>
      </c>
      <c r="N217" s="128">
        <f>SUM(N209:N216)</f>
        <v>2542</v>
      </c>
      <c r="O217" s="22">
        <f>SUM(O209:O216)</f>
        <v>211.83333333333331</v>
      </c>
      <c r="P217" s="8"/>
      <c r="Q217" s="8"/>
      <c r="R217" s="8"/>
      <c r="S217" s="8"/>
      <c r="T217" s="8"/>
      <c r="U217" s="8"/>
      <c r="V217" s="8"/>
      <c r="W217" s="8"/>
      <c r="X217" s="8"/>
      <c r="Y217" s="8"/>
      <c r="Z217" s="8"/>
    </row>
    <row r="218" spans="1:26" s="9" customFormat="1">
      <c r="A218" s="23"/>
      <c r="B218" s="24"/>
      <c r="C218" s="24"/>
      <c r="D218" s="24"/>
      <c r="E218" s="25"/>
      <c r="F218" s="25"/>
      <c r="G218" s="25"/>
      <c r="H218" s="25"/>
      <c r="I218" s="25"/>
      <c r="J218" s="25"/>
      <c r="K218" s="25"/>
      <c r="L218" s="25"/>
      <c r="M218" s="25"/>
      <c r="N218" s="134"/>
      <c r="O218" s="13"/>
      <c r="P218" s="8"/>
      <c r="Q218" s="8"/>
      <c r="R218" s="8"/>
      <c r="S218" s="8"/>
      <c r="T218" s="8"/>
      <c r="U218" s="8"/>
      <c r="V218" s="8"/>
      <c r="W218" s="8"/>
      <c r="X218" s="8"/>
      <c r="Y218" s="8"/>
      <c r="Z218" s="8"/>
    </row>
    <row r="219" spans="1:26" s="9" customFormat="1" ht="15.75">
      <c r="A219" s="14" t="s">
        <v>69</v>
      </c>
      <c r="B219" s="27"/>
      <c r="C219" s="27"/>
      <c r="D219" s="27"/>
      <c r="E219" s="27"/>
      <c r="F219" s="27"/>
      <c r="G219" s="27"/>
      <c r="H219" s="27"/>
      <c r="I219" s="27"/>
      <c r="J219" s="27"/>
      <c r="K219" s="27"/>
      <c r="L219" s="27"/>
      <c r="M219" s="27"/>
      <c r="N219" s="135"/>
      <c r="O219" s="28"/>
      <c r="P219" s="8"/>
      <c r="Q219" s="8"/>
      <c r="R219" s="8"/>
      <c r="S219" s="8"/>
      <c r="T219" s="8"/>
      <c r="U219" s="8"/>
      <c r="V219" s="8"/>
      <c r="W219" s="8"/>
      <c r="X219" s="8"/>
      <c r="Y219" s="8"/>
      <c r="Z219" s="8"/>
    </row>
    <row r="220" spans="1:26" s="9" customFormat="1" ht="15.75">
      <c r="A220" s="29" t="s">
        <v>29</v>
      </c>
      <c r="B220" s="18">
        <v>1</v>
      </c>
      <c r="C220" s="18">
        <v>0</v>
      </c>
      <c r="D220" s="81">
        <v>1</v>
      </c>
      <c r="E220" s="18">
        <v>0</v>
      </c>
      <c r="F220" s="18">
        <v>1</v>
      </c>
      <c r="G220" s="18">
        <v>0</v>
      </c>
      <c r="H220" s="18">
        <v>0</v>
      </c>
      <c r="I220" s="18">
        <v>0</v>
      </c>
      <c r="J220" s="18">
        <v>0</v>
      </c>
      <c r="K220" s="18">
        <v>0</v>
      </c>
      <c r="L220" s="18">
        <v>0</v>
      </c>
      <c r="M220" s="18">
        <v>7</v>
      </c>
      <c r="N220" s="133">
        <f>SUM(B220:M220)</f>
        <v>10</v>
      </c>
      <c r="O220" s="19">
        <f>IF(N220=0,0,AVERAGE(B220:M220))</f>
        <v>0.83333333333333337</v>
      </c>
      <c r="P220" s="8"/>
      <c r="Q220" s="8"/>
      <c r="R220" s="8"/>
      <c r="S220" s="8"/>
      <c r="T220" s="8"/>
      <c r="U220" s="8"/>
      <c r="V220" s="8"/>
      <c r="W220" s="8"/>
      <c r="X220" s="8"/>
      <c r="Y220" s="8"/>
      <c r="Z220" s="8"/>
    </row>
    <row r="221" spans="1:26" s="9" customFormat="1" ht="15.75">
      <c r="A221" s="29" t="s">
        <v>26</v>
      </c>
      <c r="B221" s="18">
        <v>21</v>
      </c>
      <c r="C221" s="18">
        <v>20</v>
      </c>
      <c r="D221" s="81">
        <v>12</v>
      </c>
      <c r="E221" s="18">
        <v>1</v>
      </c>
      <c r="F221" s="18">
        <v>27</v>
      </c>
      <c r="G221" s="18">
        <v>24</v>
      </c>
      <c r="H221" s="18">
        <v>39</v>
      </c>
      <c r="I221" s="18">
        <v>28</v>
      </c>
      <c r="J221" s="18">
        <v>20</v>
      </c>
      <c r="K221" s="18">
        <v>30</v>
      </c>
      <c r="L221" s="18">
        <v>26</v>
      </c>
      <c r="M221" s="18">
        <v>28</v>
      </c>
      <c r="N221" s="133">
        <f t="shared" ref="N221:N238" si="76">SUM(B221:M221)</f>
        <v>276</v>
      </c>
      <c r="O221" s="19">
        <f t="shared" ref="O221:O238" si="77">IF(N221=0,0,AVERAGE(B221:M221))</f>
        <v>23</v>
      </c>
      <c r="P221" s="8"/>
      <c r="Q221" s="8"/>
      <c r="R221" s="8"/>
      <c r="S221" s="8"/>
      <c r="T221" s="8"/>
      <c r="U221" s="8"/>
      <c r="V221" s="8"/>
      <c r="W221" s="8"/>
      <c r="X221" s="8"/>
      <c r="Y221" s="8"/>
      <c r="Z221" s="8"/>
    </row>
    <row r="222" spans="1:26" s="9" customFormat="1" ht="15.75">
      <c r="A222" s="29" t="s">
        <v>305</v>
      </c>
      <c r="B222" s="18">
        <v>0</v>
      </c>
      <c r="C222" s="18">
        <v>1</v>
      </c>
      <c r="D222" s="81">
        <v>0</v>
      </c>
      <c r="E222" s="18">
        <v>0</v>
      </c>
      <c r="F222" s="18">
        <v>2</v>
      </c>
      <c r="G222" s="18">
        <v>10</v>
      </c>
      <c r="H222" s="18">
        <v>21</v>
      </c>
      <c r="I222" s="18">
        <v>17</v>
      </c>
      <c r="J222" s="18">
        <v>39</v>
      </c>
      <c r="K222" s="18">
        <v>52</v>
      </c>
      <c r="L222" s="18">
        <v>30</v>
      </c>
      <c r="M222" s="18">
        <v>34</v>
      </c>
      <c r="N222" s="133">
        <f t="shared" si="76"/>
        <v>206</v>
      </c>
      <c r="O222" s="19">
        <f t="shared" si="77"/>
        <v>17.166666666666668</v>
      </c>
      <c r="P222" s="8"/>
      <c r="Q222" s="8"/>
      <c r="R222" s="8"/>
      <c r="S222" s="8"/>
      <c r="T222" s="8"/>
      <c r="U222" s="8"/>
      <c r="V222" s="8"/>
      <c r="W222" s="8"/>
      <c r="X222" s="8"/>
      <c r="Y222" s="8"/>
      <c r="Z222" s="8"/>
    </row>
    <row r="223" spans="1:26" s="9" customFormat="1" ht="15.75">
      <c r="A223" s="29" t="s">
        <v>25</v>
      </c>
      <c r="B223" s="18">
        <v>113</v>
      </c>
      <c r="C223" s="18">
        <v>120</v>
      </c>
      <c r="D223" s="81">
        <v>54</v>
      </c>
      <c r="E223" s="18">
        <v>26</v>
      </c>
      <c r="F223" s="18">
        <v>113</v>
      </c>
      <c r="G223" s="18">
        <v>91</v>
      </c>
      <c r="H223" s="18">
        <v>75</v>
      </c>
      <c r="I223" s="18">
        <v>70</v>
      </c>
      <c r="J223" s="18">
        <v>70</v>
      </c>
      <c r="K223" s="18">
        <v>68</v>
      </c>
      <c r="L223" s="18">
        <v>61</v>
      </c>
      <c r="M223" s="18">
        <v>79</v>
      </c>
      <c r="N223" s="133">
        <f t="shared" si="76"/>
        <v>940</v>
      </c>
      <c r="O223" s="19">
        <f t="shared" si="77"/>
        <v>78.333333333333329</v>
      </c>
      <c r="P223" s="8"/>
      <c r="Q223" s="8"/>
      <c r="R223" s="8"/>
      <c r="S223" s="8"/>
      <c r="T223" s="8"/>
      <c r="U223" s="8"/>
      <c r="V223" s="8"/>
      <c r="W223" s="8"/>
      <c r="X223" s="8"/>
      <c r="Y223" s="8"/>
      <c r="Z223" s="8"/>
    </row>
    <row r="224" spans="1:26" s="9" customFormat="1" ht="15.75">
      <c r="A224" s="29" t="s">
        <v>27</v>
      </c>
      <c r="B224" s="18">
        <v>0</v>
      </c>
      <c r="C224" s="18">
        <v>0</v>
      </c>
      <c r="D224" s="81">
        <v>0</v>
      </c>
      <c r="E224" s="18">
        <v>0</v>
      </c>
      <c r="F224" s="18">
        <v>3</v>
      </c>
      <c r="G224" s="18">
        <v>10</v>
      </c>
      <c r="H224" s="18">
        <v>12</v>
      </c>
      <c r="I224" s="18">
        <v>7</v>
      </c>
      <c r="J224" s="18">
        <v>6</v>
      </c>
      <c r="K224" s="18">
        <v>7</v>
      </c>
      <c r="L224" s="18">
        <v>7</v>
      </c>
      <c r="M224" s="18">
        <v>7</v>
      </c>
      <c r="N224" s="133">
        <f t="shared" si="76"/>
        <v>59</v>
      </c>
      <c r="O224" s="19">
        <f t="shared" si="77"/>
        <v>4.916666666666667</v>
      </c>
      <c r="P224" s="8"/>
      <c r="Q224" s="8"/>
      <c r="R224" s="8"/>
      <c r="S224" s="8"/>
      <c r="T224" s="8"/>
      <c r="U224" s="8"/>
      <c r="V224" s="8"/>
      <c r="W224" s="8"/>
      <c r="X224" s="8"/>
      <c r="Y224" s="8"/>
      <c r="Z224" s="8"/>
    </row>
    <row r="225" spans="1:26" s="9" customFormat="1" ht="15.75">
      <c r="A225" s="29" t="s">
        <v>101</v>
      </c>
      <c r="B225" s="18">
        <v>0</v>
      </c>
      <c r="C225" s="18">
        <v>0</v>
      </c>
      <c r="D225" s="81">
        <v>0</v>
      </c>
      <c r="E225" s="18">
        <v>0</v>
      </c>
      <c r="F225" s="18">
        <v>1</v>
      </c>
      <c r="G225" s="18">
        <v>0</v>
      </c>
      <c r="H225" s="18">
        <v>0</v>
      </c>
      <c r="I225" s="18">
        <v>0</v>
      </c>
      <c r="J225" s="18">
        <v>0</v>
      </c>
      <c r="K225" s="18">
        <v>0</v>
      </c>
      <c r="L225" s="18">
        <v>0</v>
      </c>
      <c r="M225" s="18">
        <v>0</v>
      </c>
      <c r="N225" s="133">
        <f t="shared" si="76"/>
        <v>1</v>
      </c>
      <c r="O225" s="19">
        <f t="shared" si="77"/>
        <v>8.3333333333333329E-2</v>
      </c>
      <c r="P225" s="8"/>
      <c r="Q225" s="8"/>
      <c r="R225" s="8"/>
      <c r="S225" s="8"/>
      <c r="T225" s="8"/>
      <c r="U225" s="8"/>
      <c r="V225" s="8"/>
      <c r="W225" s="8"/>
      <c r="X225" s="8"/>
      <c r="Y225" s="8"/>
      <c r="Z225" s="8"/>
    </row>
    <row r="226" spans="1:26" s="9" customFormat="1" ht="15.75">
      <c r="A226" s="29" t="s">
        <v>19</v>
      </c>
      <c r="B226" s="18">
        <v>9</v>
      </c>
      <c r="C226" s="18">
        <v>7</v>
      </c>
      <c r="D226" s="81">
        <v>26</v>
      </c>
      <c r="E226" s="18">
        <v>38</v>
      </c>
      <c r="F226" s="18">
        <v>20</v>
      </c>
      <c r="G226" s="18">
        <v>27</v>
      </c>
      <c r="H226" s="18">
        <v>18</v>
      </c>
      <c r="I226" s="18">
        <v>23</v>
      </c>
      <c r="J226" s="18">
        <v>22</v>
      </c>
      <c r="K226" s="18">
        <v>22</v>
      </c>
      <c r="L226" s="18">
        <v>31</v>
      </c>
      <c r="M226" s="18">
        <v>21</v>
      </c>
      <c r="N226" s="133">
        <f t="shared" si="76"/>
        <v>264</v>
      </c>
      <c r="O226" s="19">
        <f t="shared" si="77"/>
        <v>22</v>
      </c>
      <c r="P226" s="8"/>
      <c r="Q226" s="8"/>
      <c r="R226" s="8"/>
      <c r="S226" s="8"/>
      <c r="T226" s="8"/>
      <c r="U226" s="8"/>
      <c r="V226" s="8"/>
      <c r="W226" s="8"/>
      <c r="X226" s="8"/>
      <c r="Y226" s="8"/>
      <c r="Z226" s="8"/>
    </row>
    <row r="227" spans="1:26" s="9" customFormat="1" ht="15.75">
      <c r="A227" s="29" t="s">
        <v>28</v>
      </c>
      <c r="B227" s="18">
        <v>30</v>
      </c>
      <c r="C227" s="18">
        <v>26</v>
      </c>
      <c r="D227" s="81">
        <v>14</v>
      </c>
      <c r="E227" s="18">
        <v>3</v>
      </c>
      <c r="F227" s="18">
        <v>20</v>
      </c>
      <c r="G227" s="18">
        <v>16</v>
      </c>
      <c r="H227" s="18">
        <v>25</v>
      </c>
      <c r="I227" s="18">
        <v>25</v>
      </c>
      <c r="J227" s="18">
        <v>13</v>
      </c>
      <c r="K227" s="18">
        <v>11</v>
      </c>
      <c r="L227" s="18">
        <v>26</v>
      </c>
      <c r="M227" s="18">
        <v>17</v>
      </c>
      <c r="N227" s="133">
        <f t="shared" si="76"/>
        <v>226</v>
      </c>
      <c r="O227" s="19">
        <f t="shared" si="77"/>
        <v>18.833333333333332</v>
      </c>
      <c r="P227" s="8"/>
      <c r="Q227" s="8"/>
      <c r="R227" s="8"/>
      <c r="S227" s="8"/>
      <c r="T227" s="8"/>
      <c r="U227" s="8"/>
      <c r="V227" s="8"/>
      <c r="W227" s="8"/>
      <c r="X227" s="8"/>
      <c r="Y227" s="8"/>
      <c r="Z227" s="8"/>
    </row>
    <row r="228" spans="1:26" s="9" customFormat="1" ht="15.75">
      <c r="A228" s="29" t="s">
        <v>124</v>
      </c>
      <c r="B228" s="18">
        <v>0</v>
      </c>
      <c r="C228" s="18">
        <v>0</v>
      </c>
      <c r="D228" s="81">
        <v>0</v>
      </c>
      <c r="E228" s="18">
        <v>0</v>
      </c>
      <c r="F228" s="18">
        <v>0</v>
      </c>
      <c r="G228" s="18">
        <v>0</v>
      </c>
      <c r="H228" s="18">
        <v>0</v>
      </c>
      <c r="I228" s="18">
        <v>0</v>
      </c>
      <c r="J228" s="18">
        <v>0</v>
      </c>
      <c r="K228" s="18">
        <v>0</v>
      </c>
      <c r="L228" s="18">
        <v>0</v>
      </c>
      <c r="M228" s="18">
        <v>0</v>
      </c>
      <c r="N228" s="133">
        <f t="shared" si="76"/>
        <v>0</v>
      </c>
      <c r="O228" s="19">
        <f t="shared" si="77"/>
        <v>0</v>
      </c>
      <c r="P228" s="8"/>
      <c r="Q228" s="8"/>
      <c r="R228" s="8"/>
      <c r="S228" s="8"/>
      <c r="T228" s="8"/>
      <c r="U228" s="8"/>
      <c r="V228" s="8"/>
      <c r="W228" s="8"/>
      <c r="X228" s="8"/>
      <c r="Y228" s="8"/>
      <c r="Z228" s="8"/>
    </row>
    <row r="229" spans="1:26" s="9" customFormat="1" ht="15.75">
      <c r="A229" s="29" t="s">
        <v>31</v>
      </c>
      <c r="B229" s="18">
        <v>1</v>
      </c>
      <c r="C229" s="18">
        <v>0</v>
      </c>
      <c r="D229" s="81">
        <v>1</v>
      </c>
      <c r="E229" s="18">
        <v>0</v>
      </c>
      <c r="F229" s="18">
        <v>0</v>
      </c>
      <c r="G229" s="18">
        <v>0</v>
      </c>
      <c r="H229" s="18">
        <v>2</v>
      </c>
      <c r="I229" s="18">
        <v>2</v>
      </c>
      <c r="J229" s="18">
        <v>1</v>
      </c>
      <c r="K229" s="18">
        <v>1</v>
      </c>
      <c r="L229" s="18">
        <v>0</v>
      </c>
      <c r="M229" s="18">
        <v>0</v>
      </c>
      <c r="N229" s="133">
        <f t="shared" si="76"/>
        <v>8</v>
      </c>
      <c r="O229" s="19">
        <f t="shared" si="77"/>
        <v>0.66666666666666663</v>
      </c>
      <c r="P229" s="8"/>
      <c r="Q229" s="8"/>
      <c r="R229" s="8"/>
      <c r="S229" s="8"/>
      <c r="T229" s="8"/>
      <c r="U229" s="8"/>
      <c r="V229" s="8"/>
      <c r="W229" s="8"/>
      <c r="X229" s="8"/>
      <c r="Y229" s="8"/>
      <c r="Z229" s="8"/>
    </row>
    <row r="230" spans="1:26" s="9" customFormat="1" ht="15.75">
      <c r="A230" s="29" t="s">
        <v>30</v>
      </c>
      <c r="B230" s="18">
        <v>1</v>
      </c>
      <c r="C230" s="18">
        <v>1</v>
      </c>
      <c r="D230" s="81">
        <v>4</v>
      </c>
      <c r="E230" s="18">
        <v>2</v>
      </c>
      <c r="F230" s="18">
        <v>2</v>
      </c>
      <c r="G230" s="18">
        <v>1</v>
      </c>
      <c r="H230" s="18">
        <v>1</v>
      </c>
      <c r="I230" s="18">
        <v>0</v>
      </c>
      <c r="J230" s="18">
        <v>0</v>
      </c>
      <c r="K230" s="18">
        <v>0</v>
      </c>
      <c r="L230" s="18">
        <v>0</v>
      </c>
      <c r="M230" s="18">
        <v>0</v>
      </c>
      <c r="N230" s="133">
        <f t="shared" si="76"/>
        <v>12</v>
      </c>
      <c r="O230" s="19">
        <f t="shared" si="77"/>
        <v>1</v>
      </c>
      <c r="P230" s="8"/>
      <c r="Q230" s="8"/>
      <c r="R230" s="8"/>
      <c r="S230" s="8"/>
      <c r="T230" s="8"/>
      <c r="U230" s="8"/>
      <c r="V230" s="8"/>
      <c r="W230" s="8"/>
      <c r="X230" s="8"/>
      <c r="Y230" s="8"/>
      <c r="Z230" s="8"/>
    </row>
    <row r="231" spans="1:26" s="9" customFormat="1" ht="15.75">
      <c r="A231" s="29" t="s">
        <v>319</v>
      </c>
      <c r="B231" s="18">
        <v>0</v>
      </c>
      <c r="C231" s="18">
        <v>0</v>
      </c>
      <c r="D231" s="81">
        <v>0</v>
      </c>
      <c r="E231" s="18">
        <v>0</v>
      </c>
      <c r="F231" s="18">
        <v>0</v>
      </c>
      <c r="G231" s="18">
        <v>0</v>
      </c>
      <c r="H231" s="18">
        <v>0</v>
      </c>
      <c r="I231" s="18">
        <v>0</v>
      </c>
      <c r="J231" s="18">
        <v>0</v>
      </c>
      <c r="K231" s="18">
        <v>0</v>
      </c>
      <c r="L231" s="18">
        <v>0</v>
      </c>
      <c r="M231" s="18">
        <v>0</v>
      </c>
      <c r="N231" s="133">
        <f t="shared" si="76"/>
        <v>0</v>
      </c>
      <c r="O231" s="19">
        <f t="shared" si="77"/>
        <v>0</v>
      </c>
      <c r="P231" s="8"/>
      <c r="Q231" s="8"/>
      <c r="R231" s="8"/>
      <c r="S231" s="8"/>
      <c r="T231" s="8"/>
      <c r="U231" s="8"/>
      <c r="V231" s="8"/>
      <c r="W231" s="8"/>
      <c r="X231" s="8"/>
      <c r="Y231" s="8"/>
      <c r="Z231" s="8"/>
    </row>
    <row r="232" spans="1:26" s="9" customFormat="1" ht="15.75">
      <c r="A232" s="29" t="s">
        <v>125</v>
      </c>
      <c r="B232" s="18">
        <v>0</v>
      </c>
      <c r="C232" s="18">
        <v>0</v>
      </c>
      <c r="D232" s="81">
        <v>0</v>
      </c>
      <c r="E232" s="18">
        <v>1</v>
      </c>
      <c r="F232" s="18">
        <v>1</v>
      </c>
      <c r="G232" s="18">
        <v>0</v>
      </c>
      <c r="H232" s="18">
        <v>0</v>
      </c>
      <c r="I232" s="18">
        <v>0</v>
      </c>
      <c r="J232" s="18">
        <v>0</v>
      </c>
      <c r="K232" s="18">
        <v>0</v>
      </c>
      <c r="L232" s="18">
        <v>0</v>
      </c>
      <c r="M232" s="18">
        <v>0</v>
      </c>
      <c r="N232" s="133">
        <f t="shared" si="76"/>
        <v>2</v>
      </c>
      <c r="O232" s="19">
        <f t="shared" si="77"/>
        <v>0.16666666666666666</v>
      </c>
      <c r="P232" s="8"/>
      <c r="Q232" s="8"/>
      <c r="R232" s="8"/>
      <c r="S232" s="8"/>
      <c r="T232" s="8"/>
      <c r="U232" s="8"/>
      <c r="V232" s="8"/>
      <c r="W232" s="8"/>
      <c r="X232" s="8"/>
      <c r="Y232" s="8"/>
      <c r="Z232" s="8"/>
    </row>
    <row r="233" spans="1:26" s="9" customFormat="1" ht="15.75">
      <c r="A233" s="29" t="s">
        <v>720</v>
      </c>
      <c r="B233" s="18">
        <v>0</v>
      </c>
      <c r="C233" s="18">
        <v>0</v>
      </c>
      <c r="D233" s="81">
        <v>0</v>
      </c>
      <c r="E233" s="18">
        <v>0</v>
      </c>
      <c r="F233" s="18">
        <v>3</v>
      </c>
      <c r="G233" s="18">
        <v>2</v>
      </c>
      <c r="H233" s="18">
        <v>1</v>
      </c>
      <c r="I233" s="18">
        <v>4</v>
      </c>
      <c r="J233" s="18">
        <v>8</v>
      </c>
      <c r="K233" s="18">
        <v>1</v>
      </c>
      <c r="L233" s="18">
        <v>4</v>
      </c>
      <c r="M233" s="18">
        <v>1</v>
      </c>
      <c r="N233" s="133">
        <f t="shared" si="76"/>
        <v>24</v>
      </c>
      <c r="O233" s="19">
        <f t="shared" si="77"/>
        <v>2</v>
      </c>
      <c r="P233" s="8"/>
      <c r="Q233" s="8"/>
      <c r="R233" s="8"/>
      <c r="S233" s="8"/>
      <c r="T233" s="8"/>
      <c r="U233" s="8"/>
      <c r="V233" s="8"/>
      <c r="W233" s="8"/>
      <c r="X233" s="8"/>
      <c r="Y233" s="8"/>
      <c r="Z233" s="8"/>
    </row>
    <row r="234" spans="1:26" s="9" customFormat="1" ht="15.75">
      <c r="A234" s="29" t="s">
        <v>32</v>
      </c>
      <c r="B234" s="18">
        <v>2</v>
      </c>
      <c r="C234" s="18">
        <v>3</v>
      </c>
      <c r="D234" s="81">
        <v>1</v>
      </c>
      <c r="E234" s="18">
        <v>1</v>
      </c>
      <c r="F234" s="18">
        <v>0</v>
      </c>
      <c r="G234" s="18">
        <v>1</v>
      </c>
      <c r="H234" s="18">
        <v>2</v>
      </c>
      <c r="I234" s="18">
        <v>3</v>
      </c>
      <c r="J234" s="18">
        <v>2</v>
      </c>
      <c r="K234" s="18">
        <v>1</v>
      </c>
      <c r="L234" s="18">
        <v>2</v>
      </c>
      <c r="M234" s="18">
        <v>2</v>
      </c>
      <c r="N234" s="133">
        <f t="shared" si="76"/>
        <v>20</v>
      </c>
      <c r="O234" s="19">
        <f t="shared" si="77"/>
        <v>1.6666666666666667</v>
      </c>
      <c r="P234" s="8"/>
      <c r="Q234" s="8"/>
      <c r="R234" s="8"/>
      <c r="S234" s="8"/>
      <c r="T234" s="8"/>
      <c r="U234" s="8"/>
      <c r="V234" s="8"/>
      <c r="W234" s="8"/>
      <c r="X234" s="8"/>
      <c r="Y234" s="8"/>
      <c r="Z234" s="8"/>
    </row>
    <row r="235" spans="1:26" s="9" customFormat="1" ht="15.75">
      <c r="A235" s="29" t="s">
        <v>722</v>
      </c>
      <c r="B235" s="18">
        <v>2</v>
      </c>
      <c r="C235" s="18">
        <v>6</v>
      </c>
      <c r="D235" s="81">
        <v>26</v>
      </c>
      <c r="E235" s="18">
        <v>28</v>
      </c>
      <c r="F235" s="18">
        <v>2</v>
      </c>
      <c r="G235" s="18">
        <v>0</v>
      </c>
      <c r="H235" s="18">
        <v>0</v>
      </c>
      <c r="I235" s="18">
        <v>0</v>
      </c>
      <c r="J235" s="18">
        <v>0</v>
      </c>
      <c r="K235" s="18">
        <v>0</v>
      </c>
      <c r="L235" s="18">
        <v>1</v>
      </c>
      <c r="M235" s="18">
        <v>0</v>
      </c>
      <c r="N235" s="133">
        <f t="shared" si="76"/>
        <v>65</v>
      </c>
      <c r="O235" s="19">
        <f t="shared" si="77"/>
        <v>5.416666666666667</v>
      </c>
      <c r="P235" s="10"/>
      <c r="Q235" s="10"/>
      <c r="R235" s="10"/>
      <c r="S235" s="10"/>
      <c r="T235" s="10"/>
      <c r="U235" s="10"/>
      <c r="V235" s="10"/>
      <c r="W235" s="10"/>
      <c r="X235" s="10"/>
      <c r="Y235" s="10"/>
      <c r="Z235" s="10"/>
    </row>
    <row r="236" spans="1:26" s="9" customFormat="1" ht="15.75">
      <c r="A236" s="29" t="s">
        <v>723</v>
      </c>
      <c r="B236" s="18">
        <v>5</v>
      </c>
      <c r="C236" s="18">
        <v>8</v>
      </c>
      <c r="D236" s="81">
        <v>5</v>
      </c>
      <c r="E236" s="18">
        <v>0</v>
      </c>
      <c r="F236" s="18">
        <v>0</v>
      </c>
      <c r="G236" s="18">
        <v>13</v>
      </c>
      <c r="H236" s="18">
        <v>20</v>
      </c>
      <c r="I236" s="18">
        <v>39</v>
      </c>
      <c r="J236" s="18">
        <v>30</v>
      </c>
      <c r="K236" s="18">
        <v>22</v>
      </c>
      <c r="L236" s="18">
        <v>15</v>
      </c>
      <c r="M236" s="18">
        <v>24</v>
      </c>
      <c r="N236" s="133">
        <f t="shared" si="76"/>
        <v>181</v>
      </c>
      <c r="O236" s="19">
        <f t="shared" si="77"/>
        <v>15.083333333333334</v>
      </c>
      <c r="P236" s="10"/>
      <c r="Q236" s="10"/>
      <c r="R236" s="10"/>
      <c r="S236" s="10"/>
      <c r="T236" s="10"/>
      <c r="U236" s="10"/>
      <c r="V236" s="10"/>
      <c r="W236" s="10"/>
      <c r="X236" s="10"/>
      <c r="Y236" s="10"/>
      <c r="Z236" s="10"/>
    </row>
    <row r="237" spans="1:26" s="9" customFormat="1" ht="15.75">
      <c r="A237" s="29" t="s">
        <v>33</v>
      </c>
      <c r="B237" s="18">
        <v>0</v>
      </c>
      <c r="C237" s="18">
        <v>0</v>
      </c>
      <c r="D237" s="81">
        <v>0</v>
      </c>
      <c r="E237" s="18">
        <v>0</v>
      </c>
      <c r="F237" s="18">
        <v>0</v>
      </c>
      <c r="G237" s="18">
        <v>0</v>
      </c>
      <c r="H237" s="18">
        <v>0</v>
      </c>
      <c r="I237" s="18">
        <v>0</v>
      </c>
      <c r="J237" s="18">
        <v>0</v>
      </c>
      <c r="K237" s="18">
        <v>0</v>
      </c>
      <c r="L237" s="18">
        <v>0</v>
      </c>
      <c r="M237" s="18">
        <v>0</v>
      </c>
      <c r="N237" s="133">
        <f t="shared" si="76"/>
        <v>0</v>
      </c>
      <c r="O237" s="19">
        <f t="shared" si="77"/>
        <v>0</v>
      </c>
      <c r="P237" s="10"/>
      <c r="Q237" s="10"/>
      <c r="R237" s="10"/>
      <c r="S237" s="10"/>
      <c r="T237" s="10"/>
      <c r="U237" s="10"/>
      <c r="V237" s="10"/>
      <c r="W237" s="10"/>
      <c r="X237" s="10"/>
      <c r="Y237" s="10"/>
      <c r="Z237" s="10"/>
    </row>
    <row r="238" spans="1:26" s="9" customFormat="1" ht="15.75">
      <c r="A238" s="29" t="s">
        <v>34</v>
      </c>
      <c r="B238" s="18">
        <v>0</v>
      </c>
      <c r="C238" s="18">
        <v>2</v>
      </c>
      <c r="D238" s="81">
        <v>3</v>
      </c>
      <c r="E238" s="18">
        <v>4</v>
      </c>
      <c r="F238" s="18">
        <v>0</v>
      </c>
      <c r="G238" s="18">
        <v>10</v>
      </c>
      <c r="H238" s="18">
        <v>8</v>
      </c>
      <c r="I238" s="18">
        <v>0</v>
      </c>
      <c r="J238" s="18">
        <v>3</v>
      </c>
      <c r="K238" s="18">
        <v>0</v>
      </c>
      <c r="L238" s="18">
        <v>0</v>
      </c>
      <c r="M238" s="18">
        <v>2</v>
      </c>
      <c r="N238" s="133">
        <f t="shared" si="76"/>
        <v>32</v>
      </c>
      <c r="O238" s="19">
        <f t="shared" si="77"/>
        <v>2.6666666666666665</v>
      </c>
      <c r="P238" s="8"/>
      <c r="Q238" s="8"/>
      <c r="R238" s="8"/>
      <c r="S238" s="8"/>
      <c r="T238" s="8"/>
      <c r="U238" s="8"/>
      <c r="V238" s="8"/>
      <c r="W238" s="8"/>
      <c r="X238" s="8"/>
      <c r="Y238" s="8"/>
      <c r="Z238" s="8"/>
    </row>
    <row r="239" spans="1:26" s="9" customFormat="1" ht="15.75">
      <c r="A239" s="29" t="s">
        <v>35</v>
      </c>
      <c r="B239" s="18">
        <v>3</v>
      </c>
      <c r="C239" s="18">
        <v>3</v>
      </c>
      <c r="D239" s="81">
        <v>1</v>
      </c>
      <c r="E239" s="18">
        <v>1</v>
      </c>
      <c r="F239" s="18">
        <v>5</v>
      </c>
      <c r="G239" s="18">
        <v>4</v>
      </c>
      <c r="H239" s="18">
        <v>6</v>
      </c>
      <c r="I239" s="18">
        <v>0</v>
      </c>
      <c r="J239" s="18">
        <v>3</v>
      </c>
      <c r="K239" s="18">
        <v>2</v>
      </c>
      <c r="L239" s="18">
        <v>2</v>
      </c>
      <c r="M239" s="18">
        <v>1</v>
      </c>
      <c r="N239" s="133">
        <f>SUM(B239:M239)</f>
        <v>31</v>
      </c>
      <c r="O239" s="19">
        <f>IF(N239=0,0,AVERAGE(B239:M239))</f>
        <v>2.5833333333333335</v>
      </c>
      <c r="P239" s="10"/>
      <c r="Q239" s="10"/>
      <c r="R239" s="10"/>
      <c r="S239" s="10"/>
      <c r="T239" s="10"/>
      <c r="U239" s="10"/>
      <c r="V239" s="10"/>
      <c r="W239" s="10"/>
      <c r="X239" s="10"/>
      <c r="Y239" s="10"/>
      <c r="Z239" s="10"/>
    </row>
    <row r="240" spans="1:26" s="9" customFormat="1" ht="15.75">
      <c r="A240" s="20" t="s">
        <v>21</v>
      </c>
      <c r="B240" s="21">
        <f t="shared" ref="B240:M240" si="78">IF(SUM(B220:B239)=0,"",SUM(B220:B239))</f>
        <v>188</v>
      </c>
      <c r="C240" s="21">
        <f t="shared" si="78"/>
        <v>197</v>
      </c>
      <c r="D240" s="21">
        <f t="shared" si="78"/>
        <v>148</v>
      </c>
      <c r="E240" s="21">
        <f t="shared" si="78"/>
        <v>105</v>
      </c>
      <c r="F240" s="21">
        <f t="shared" si="78"/>
        <v>200</v>
      </c>
      <c r="G240" s="21">
        <f t="shared" si="78"/>
        <v>209</v>
      </c>
      <c r="H240" s="21">
        <f t="shared" si="78"/>
        <v>230</v>
      </c>
      <c r="I240" s="21">
        <f t="shared" si="78"/>
        <v>218</v>
      </c>
      <c r="J240" s="21">
        <f t="shared" si="78"/>
        <v>217</v>
      </c>
      <c r="K240" s="21">
        <f t="shared" si="78"/>
        <v>217</v>
      </c>
      <c r="L240" s="21">
        <f t="shared" si="78"/>
        <v>205</v>
      </c>
      <c r="M240" s="21">
        <f t="shared" si="78"/>
        <v>223</v>
      </c>
      <c r="N240" s="128">
        <f>SUM(N220:N239)</f>
        <v>2357</v>
      </c>
      <c r="O240" s="22">
        <f>SUM(O220:O239)</f>
        <v>196.41666666666663</v>
      </c>
      <c r="P240" s="8"/>
      <c r="Q240" s="8"/>
      <c r="R240" s="8"/>
      <c r="S240" s="8"/>
      <c r="T240" s="8"/>
      <c r="U240" s="8"/>
      <c r="V240" s="8"/>
      <c r="W240" s="8"/>
      <c r="X240" s="8"/>
      <c r="Y240" s="8"/>
      <c r="Z240" s="8"/>
    </row>
    <row r="241" spans="1:26" s="9" customFormat="1">
      <c r="A241" s="23"/>
      <c r="B241" s="24"/>
      <c r="C241" s="24"/>
      <c r="D241" s="24"/>
      <c r="E241" s="25"/>
      <c r="F241" s="25"/>
      <c r="G241" s="25"/>
      <c r="H241" s="25"/>
      <c r="I241" s="25"/>
      <c r="J241" s="25"/>
      <c r="K241" s="25"/>
      <c r="L241" s="25"/>
      <c r="M241" s="25"/>
      <c r="N241" s="134"/>
      <c r="O241" s="13"/>
      <c r="P241" s="8"/>
      <c r="Q241" s="8"/>
      <c r="R241" s="8"/>
      <c r="S241" s="8"/>
      <c r="T241" s="8"/>
      <c r="U241" s="8"/>
      <c r="V241" s="8"/>
      <c r="W241" s="8"/>
      <c r="X241" s="8"/>
      <c r="Y241" s="8"/>
      <c r="Z241" s="8"/>
    </row>
    <row r="242" spans="1:26" s="9" customFormat="1" ht="15.75">
      <c r="A242" s="165" t="s">
        <v>615</v>
      </c>
      <c r="B242" s="166"/>
      <c r="C242" s="166"/>
      <c r="D242" s="166"/>
      <c r="E242" s="166"/>
      <c r="F242" s="166"/>
      <c r="G242" s="166"/>
      <c r="H242" s="166"/>
      <c r="I242" s="166"/>
      <c r="J242" s="166"/>
      <c r="K242" s="166"/>
      <c r="L242" s="166"/>
      <c r="M242" s="166"/>
      <c r="N242" s="167"/>
      <c r="O242" s="168"/>
      <c r="P242" s="8"/>
      <c r="Q242" s="8"/>
      <c r="R242" s="8"/>
      <c r="S242" s="8"/>
      <c r="T242" s="8"/>
      <c r="U242" s="8"/>
      <c r="V242" s="8"/>
      <c r="W242" s="8"/>
      <c r="X242" s="8"/>
      <c r="Y242" s="8"/>
      <c r="Z242" s="8"/>
    </row>
    <row r="243" spans="1:26" s="9" customFormat="1" ht="15.75">
      <c r="A243" s="37" t="s">
        <v>18</v>
      </c>
      <c r="B243" s="18">
        <v>176</v>
      </c>
      <c r="C243" s="18">
        <v>183</v>
      </c>
      <c r="D243" s="18">
        <v>130</v>
      </c>
      <c r="E243" s="18">
        <v>7</v>
      </c>
      <c r="F243" s="18">
        <v>173</v>
      </c>
      <c r="G243" s="18">
        <v>185</v>
      </c>
      <c r="H243" s="18">
        <v>194</v>
      </c>
      <c r="I243" s="18">
        <v>195</v>
      </c>
      <c r="J243" s="18">
        <v>187</v>
      </c>
      <c r="K243" s="18">
        <v>192</v>
      </c>
      <c r="L243" s="18">
        <f>1+21+149+4</f>
        <v>175</v>
      </c>
      <c r="M243" s="18">
        <v>198</v>
      </c>
      <c r="N243" s="133">
        <f>SUM(B243:M243)</f>
        <v>1995</v>
      </c>
      <c r="O243" s="19">
        <f>IF(N243=0,0,AVERAGE(B243:M243))</f>
        <v>166.25</v>
      </c>
      <c r="P243" s="10"/>
      <c r="Q243" s="10"/>
      <c r="R243" s="10"/>
      <c r="S243" s="10"/>
      <c r="T243" s="10"/>
      <c r="U243" s="10"/>
      <c r="V243" s="10"/>
      <c r="W243" s="10"/>
      <c r="X243" s="10"/>
      <c r="Y243" s="10"/>
      <c r="Z243" s="10"/>
    </row>
    <row r="244" spans="1:26" s="9" customFormat="1" ht="15.75">
      <c r="A244" s="37" t="s">
        <v>19</v>
      </c>
      <c r="B244" s="18">
        <v>12</v>
      </c>
      <c r="C244" s="18">
        <v>14</v>
      </c>
      <c r="D244" s="18">
        <v>18</v>
      </c>
      <c r="E244" s="18">
        <v>98</v>
      </c>
      <c r="F244" s="18">
        <v>27</v>
      </c>
      <c r="G244" s="18">
        <v>24</v>
      </c>
      <c r="H244" s="18">
        <v>36</v>
      </c>
      <c r="I244" s="18">
        <v>23</v>
      </c>
      <c r="J244" s="18">
        <v>30</v>
      </c>
      <c r="K244" s="18">
        <v>25</v>
      </c>
      <c r="L244" s="18">
        <v>30</v>
      </c>
      <c r="M244" s="18">
        <v>25</v>
      </c>
      <c r="N244" s="133">
        <f>SUM(B244:M244)</f>
        <v>362</v>
      </c>
      <c r="O244" s="19">
        <f>IF(N244=0,0,AVERAGE(B244:M244))</f>
        <v>30.166666666666668</v>
      </c>
      <c r="P244" s="8"/>
      <c r="Q244" s="8"/>
      <c r="R244" s="8"/>
      <c r="S244" s="8"/>
      <c r="T244" s="8"/>
      <c r="U244" s="8"/>
      <c r="V244" s="8"/>
      <c r="W244" s="8"/>
      <c r="X244" s="8"/>
      <c r="Y244" s="8"/>
      <c r="Z244" s="8"/>
    </row>
    <row r="245" spans="1:26" s="9" customFormat="1" ht="15.75">
      <c r="A245" s="37" t="s">
        <v>20</v>
      </c>
      <c r="B245" s="18">
        <v>0</v>
      </c>
      <c r="C245" s="18">
        <v>0</v>
      </c>
      <c r="D245" s="18">
        <v>0</v>
      </c>
      <c r="E245" s="18">
        <v>0</v>
      </c>
      <c r="F245" s="18">
        <v>0</v>
      </c>
      <c r="G245" s="18">
        <v>0</v>
      </c>
      <c r="H245" s="18">
        <v>0</v>
      </c>
      <c r="I245" s="18">
        <v>0</v>
      </c>
      <c r="J245" s="18">
        <v>0</v>
      </c>
      <c r="K245" s="18">
        <v>0</v>
      </c>
      <c r="L245" s="18">
        <v>0</v>
      </c>
      <c r="M245" s="18">
        <v>0</v>
      </c>
      <c r="N245" s="133">
        <f>SUM(B245:M245)</f>
        <v>0</v>
      </c>
      <c r="O245" s="19">
        <f>IF(N245=0,0,AVERAGE(B245:M245))</f>
        <v>0</v>
      </c>
      <c r="P245" s="10"/>
      <c r="Q245" s="10"/>
      <c r="R245" s="10"/>
      <c r="S245" s="10"/>
      <c r="T245" s="10"/>
      <c r="U245" s="10"/>
      <c r="V245" s="10"/>
      <c r="W245" s="10"/>
      <c r="X245" s="10"/>
      <c r="Y245" s="10"/>
      <c r="Z245" s="10"/>
    </row>
    <row r="246" spans="1:26" s="9" customFormat="1" ht="15.75">
      <c r="A246" s="20" t="s">
        <v>21</v>
      </c>
      <c r="B246" s="21">
        <f t="shared" ref="B246:M246" si="79">IF(SUM(B243:B245)=0,"",SUM(B243:B245))</f>
        <v>188</v>
      </c>
      <c r="C246" s="21">
        <f t="shared" si="79"/>
        <v>197</v>
      </c>
      <c r="D246" s="21">
        <f t="shared" si="79"/>
        <v>148</v>
      </c>
      <c r="E246" s="21">
        <f t="shared" si="79"/>
        <v>105</v>
      </c>
      <c r="F246" s="21">
        <f t="shared" si="79"/>
        <v>200</v>
      </c>
      <c r="G246" s="21">
        <f t="shared" si="79"/>
        <v>209</v>
      </c>
      <c r="H246" s="21">
        <f t="shared" si="79"/>
        <v>230</v>
      </c>
      <c r="I246" s="21">
        <f t="shared" si="79"/>
        <v>218</v>
      </c>
      <c r="J246" s="21">
        <f t="shared" si="79"/>
        <v>217</v>
      </c>
      <c r="K246" s="21">
        <f t="shared" si="79"/>
        <v>217</v>
      </c>
      <c r="L246" s="21">
        <f t="shared" si="79"/>
        <v>205</v>
      </c>
      <c r="M246" s="21">
        <f t="shared" si="79"/>
        <v>223</v>
      </c>
      <c r="N246" s="128">
        <f>SUM(N243:N245)</f>
        <v>2357</v>
      </c>
      <c r="O246" s="22">
        <f>SUM(O243:O245)</f>
        <v>196.41666666666666</v>
      </c>
      <c r="P246" s="8"/>
      <c r="Q246" s="8"/>
      <c r="R246" s="8"/>
      <c r="S246" s="8"/>
      <c r="T246" s="8"/>
      <c r="U246" s="8"/>
      <c r="V246" s="8"/>
      <c r="W246" s="8"/>
      <c r="X246" s="8"/>
      <c r="Y246" s="8"/>
      <c r="Z246" s="8"/>
    </row>
    <row r="247" spans="1:26" s="9" customFormat="1">
      <c r="A247" s="23"/>
      <c r="B247" s="24" t="s">
        <v>70</v>
      </c>
      <c r="C247" s="24"/>
      <c r="D247" s="24"/>
      <c r="E247" s="25"/>
      <c r="F247" s="25"/>
      <c r="G247" s="25"/>
      <c r="H247" s="25"/>
      <c r="I247" s="25"/>
      <c r="J247" s="25"/>
      <c r="K247" s="25"/>
      <c r="L247" s="25"/>
      <c r="M247" s="25"/>
      <c r="N247" s="134"/>
      <c r="O247" s="13"/>
      <c r="P247" s="8"/>
      <c r="Q247" s="8"/>
      <c r="R247" s="8"/>
      <c r="S247" s="8"/>
      <c r="T247" s="8"/>
      <c r="U247" s="8"/>
      <c r="V247" s="8"/>
      <c r="W247" s="8"/>
      <c r="X247" s="8"/>
      <c r="Y247" s="8"/>
      <c r="Z247" s="8"/>
    </row>
    <row r="248" spans="1:26" s="9" customFormat="1" ht="15.75">
      <c r="A248" s="165" t="s">
        <v>71</v>
      </c>
      <c r="B248" s="166"/>
      <c r="C248" s="166"/>
      <c r="D248" s="166"/>
      <c r="E248" s="166"/>
      <c r="F248" s="166"/>
      <c r="G248" s="166"/>
      <c r="H248" s="166"/>
      <c r="I248" s="166"/>
      <c r="J248" s="166"/>
      <c r="K248" s="166"/>
      <c r="L248" s="166"/>
      <c r="M248" s="166"/>
      <c r="N248" s="167"/>
      <c r="O248" s="168"/>
      <c r="P248" s="8"/>
      <c r="Q248" s="8"/>
      <c r="R248" s="8"/>
      <c r="S248" s="8"/>
      <c r="T248" s="8"/>
      <c r="U248" s="8"/>
      <c r="V248" s="8"/>
      <c r="W248" s="8"/>
      <c r="X248" s="8"/>
      <c r="Y248" s="8"/>
      <c r="Z248" s="8"/>
    </row>
    <row r="249" spans="1:26" s="9" customFormat="1" ht="15.75">
      <c r="A249" s="29" t="s">
        <v>29</v>
      </c>
      <c r="B249" s="18">
        <v>0</v>
      </c>
      <c r="C249" s="18">
        <v>0</v>
      </c>
      <c r="D249" s="18">
        <v>0</v>
      </c>
      <c r="E249" s="18">
        <v>0</v>
      </c>
      <c r="F249" s="18">
        <v>0</v>
      </c>
      <c r="G249" s="18">
        <v>0</v>
      </c>
      <c r="H249" s="18">
        <v>0</v>
      </c>
      <c r="I249" s="18">
        <v>0</v>
      </c>
      <c r="J249" s="18">
        <v>0</v>
      </c>
      <c r="K249" s="18">
        <v>0</v>
      </c>
      <c r="L249" s="18">
        <v>0</v>
      </c>
      <c r="M249" s="18">
        <v>0</v>
      </c>
      <c r="N249" s="133">
        <f>SUM(B249:M249)</f>
        <v>0</v>
      </c>
      <c r="O249" s="19">
        <f>IF(N249=0,0,AVERAGE(B249:M249))</f>
        <v>0</v>
      </c>
      <c r="P249" s="8"/>
      <c r="Q249" s="8"/>
      <c r="R249" s="8"/>
      <c r="S249" s="8"/>
      <c r="T249" s="8"/>
      <c r="U249" s="8"/>
      <c r="V249" s="8"/>
      <c r="W249" s="8"/>
      <c r="X249" s="8"/>
      <c r="Y249" s="8"/>
      <c r="Z249" s="8"/>
    </row>
    <row r="250" spans="1:26" s="9" customFormat="1" ht="15.75">
      <c r="A250" s="29" t="s">
        <v>26</v>
      </c>
      <c r="B250" s="18">
        <v>0</v>
      </c>
      <c r="C250" s="18">
        <v>0</v>
      </c>
      <c r="D250" s="18">
        <v>0</v>
      </c>
      <c r="E250" s="18">
        <v>0</v>
      </c>
      <c r="F250" s="18">
        <v>0</v>
      </c>
      <c r="G250" s="18">
        <v>0</v>
      </c>
      <c r="H250" s="18">
        <v>0</v>
      </c>
      <c r="I250" s="18">
        <v>0</v>
      </c>
      <c r="J250" s="18">
        <v>0</v>
      </c>
      <c r="K250" s="18">
        <v>0</v>
      </c>
      <c r="L250" s="18">
        <v>0</v>
      </c>
      <c r="M250" s="18">
        <v>0</v>
      </c>
      <c r="N250" s="133">
        <f t="shared" ref="N250:N268" si="80">SUM(B250:M250)</f>
        <v>0</v>
      </c>
      <c r="O250" s="19">
        <f t="shared" ref="O250:O268" si="81">IF(N250=0,0,AVERAGE(B250:M250))</f>
        <v>0</v>
      </c>
      <c r="P250" s="8"/>
      <c r="Q250" s="8"/>
      <c r="R250" s="8"/>
      <c r="S250" s="8"/>
      <c r="T250" s="8"/>
      <c r="U250" s="8"/>
      <c r="V250" s="8"/>
      <c r="W250" s="8"/>
      <c r="X250" s="8"/>
      <c r="Y250" s="8"/>
      <c r="Z250" s="8"/>
    </row>
    <row r="251" spans="1:26" s="9" customFormat="1" ht="15.75">
      <c r="A251" s="29" t="s">
        <v>305</v>
      </c>
      <c r="B251" s="18">
        <v>0</v>
      </c>
      <c r="C251" s="18">
        <v>0</v>
      </c>
      <c r="D251" s="18">
        <v>0</v>
      </c>
      <c r="E251" s="18">
        <v>0</v>
      </c>
      <c r="F251" s="18">
        <v>1</v>
      </c>
      <c r="G251" s="18">
        <v>0</v>
      </c>
      <c r="H251" s="18">
        <v>0</v>
      </c>
      <c r="I251" s="18">
        <v>0</v>
      </c>
      <c r="J251" s="18">
        <v>0</v>
      </c>
      <c r="K251" s="18">
        <v>1</v>
      </c>
      <c r="L251" s="18">
        <v>0</v>
      </c>
      <c r="M251" s="18">
        <v>0</v>
      </c>
      <c r="N251" s="133">
        <f t="shared" si="80"/>
        <v>2</v>
      </c>
      <c r="O251" s="19">
        <f t="shared" si="81"/>
        <v>0.16666666666666666</v>
      </c>
      <c r="P251" s="8"/>
      <c r="Q251" s="8"/>
      <c r="R251" s="8"/>
      <c r="S251" s="8"/>
      <c r="T251" s="8"/>
      <c r="U251" s="8"/>
      <c r="V251" s="8"/>
      <c r="W251" s="8"/>
      <c r="X251" s="8"/>
      <c r="Y251" s="8"/>
      <c r="Z251" s="8"/>
    </row>
    <row r="252" spans="1:26" s="9" customFormat="1" ht="15.75">
      <c r="A252" s="29" t="s">
        <v>25</v>
      </c>
      <c r="B252" s="18">
        <v>0</v>
      </c>
      <c r="C252" s="18">
        <v>0</v>
      </c>
      <c r="D252" s="18">
        <v>1</v>
      </c>
      <c r="E252" s="18">
        <v>0</v>
      </c>
      <c r="F252" s="18">
        <v>0</v>
      </c>
      <c r="G252" s="18">
        <v>2</v>
      </c>
      <c r="H252" s="18">
        <v>2</v>
      </c>
      <c r="I252" s="18">
        <v>0</v>
      </c>
      <c r="J252" s="18">
        <v>0</v>
      </c>
      <c r="K252" s="18">
        <v>0</v>
      </c>
      <c r="L252" s="18">
        <v>1</v>
      </c>
      <c r="M252" s="18">
        <v>0</v>
      </c>
      <c r="N252" s="133">
        <f t="shared" si="80"/>
        <v>6</v>
      </c>
      <c r="O252" s="19">
        <f t="shared" si="81"/>
        <v>0.5</v>
      </c>
      <c r="P252" s="8"/>
      <c r="Q252" s="8"/>
      <c r="R252" s="8"/>
      <c r="S252" s="8"/>
      <c r="T252" s="8"/>
      <c r="U252" s="8"/>
      <c r="V252" s="8"/>
      <c r="W252" s="8"/>
      <c r="X252" s="8"/>
      <c r="Y252" s="8"/>
      <c r="Z252" s="8"/>
    </row>
    <row r="253" spans="1:26" s="9" customFormat="1" ht="15.75">
      <c r="A253" s="29" t="s">
        <v>27</v>
      </c>
      <c r="B253" s="18">
        <v>0</v>
      </c>
      <c r="C253" s="18">
        <v>0</v>
      </c>
      <c r="D253" s="18">
        <v>0</v>
      </c>
      <c r="E253" s="18">
        <v>0</v>
      </c>
      <c r="F253" s="18">
        <v>0</v>
      </c>
      <c r="G253" s="18">
        <v>0</v>
      </c>
      <c r="H253" s="18">
        <v>0</v>
      </c>
      <c r="I253" s="18">
        <v>0</v>
      </c>
      <c r="J253" s="18">
        <v>0</v>
      </c>
      <c r="K253" s="18">
        <v>0</v>
      </c>
      <c r="L253" s="18">
        <v>0</v>
      </c>
      <c r="M253" s="18">
        <v>0</v>
      </c>
      <c r="N253" s="133">
        <f t="shared" si="80"/>
        <v>0</v>
      </c>
      <c r="O253" s="19">
        <f t="shared" si="81"/>
        <v>0</v>
      </c>
      <c r="P253" s="8"/>
      <c r="Q253" s="8"/>
      <c r="R253" s="8"/>
      <c r="S253" s="8"/>
      <c r="T253" s="8"/>
      <c r="U253" s="8"/>
      <c r="V253" s="8"/>
      <c r="W253" s="8"/>
      <c r="X253" s="8"/>
      <c r="Y253" s="8"/>
      <c r="Z253" s="8"/>
    </row>
    <row r="254" spans="1:26" s="9" customFormat="1" ht="15.75">
      <c r="A254" s="29" t="s">
        <v>101</v>
      </c>
      <c r="B254" s="18">
        <v>0</v>
      </c>
      <c r="C254" s="18">
        <v>0</v>
      </c>
      <c r="D254" s="18">
        <v>0</v>
      </c>
      <c r="E254" s="18">
        <v>0</v>
      </c>
      <c r="F254" s="18">
        <v>0</v>
      </c>
      <c r="G254" s="18">
        <v>0</v>
      </c>
      <c r="H254" s="18">
        <v>0</v>
      </c>
      <c r="I254" s="18">
        <v>0</v>
      </c>
      <c r="J254" s="18">
        <v>0</v>
      </c>
      <c r="K254" s="18">
        <v>0</v>
      </c>
      <c r="L254" s="18">
        <v>0</v>
      </c>
      <c r="M254" s="18">
        <v>0</v>
      </c>
      <c r="N254" s="133">
        <f t="shared" si="80"/>
        <v>0</v>
      </c>
      <c r="O254" s="19">
        <f t="shared" si="81"/>
        <v>0</v>
      </c>
      <c r="P254" s="8"/>
      <c r="Q254" s="8"/>
      <c r="R254" s="8"/>
      <c r="S254" s="8"/>
      <c r="T254" s="8"/>
      <c r="U254" s="8"/>
      <c r="V254" s="8"/>
      <c r="W254" s="8"/>
      <c r="X254" s="8"/>
      <c r="Y254" s="8"/>
      <c r="Z254" s="8"/>
    </row>
    <row r="255" spans="1:26" s="9" customFormat="1" ht="15.75">
      <c r="A255" s="29" t="s">
        <v>19</v>
      </c>
      <c r="B255" s="18">
        <v>1</v>
      </c>
      <c r="C255" s="18">
        <v>2</v>
      </c>
      <c r="D255" s="18">
        <v>3</v>
      </c>
      <c r="E255" s="18">
        <v>3</v>
      </c>
      <c r="F255" s="18">
        <v>2</v>
      </c>
      <c r="G255" s="18">
        <v>2</v>
      </c>
      <c r="H255" s="18">
        <v>1</v>
      </c>
      <c r="I255" s="18">
        <v>2</v>
      </c>
      <c r="J255" s="18">
        <v>8</v>
      </c>
      <c r="K255" s="18">
        <v>3</v>
      </c>
      <c r="L255" s="18">
        <v>0</v>
      </c>
      <c r="M255" s="18">
        <v>3</v>
      </c>
      <c r="N255" s="133">
        <f t="shared" si="80"/>
        <v>30</v>
      </c>
      <c r="O255" s="19">
        <f t="shared" si="81"/>
        <v>2.5</v>
      </c>
      <c r="P255" s="8"/>
      <c r="Q255" s="8"/>
      <c r="R255" s="8"/>
      <c r="S255" s="8"/>
      <c r="T255" s="8"/>
      <c r="U255" s="8"/>
      <c r="V255" s="8"/>
      <c r="W255" s="8"/>
      <c r="X255" s="8"/>
      <c r="Y255" s="8"/>
      <c r="Z255" s="8"/>
    </row>
    <row r="256" spans="1:26" s="9" customFormat="1" ht="15.75">
      <c r="A256" s="29" t="s">
        <v>28</v>
      </c>
      <c r="B256" s="18">
        <v>0</v>
      </c>
      <c r="C256" s="18">
        <v>0</v>
      </c>
      <c r="D256" s="18">
        <v>0</v>
      </c>
      <c r="E256" s="18">
        <v>1</v>
      </c>
      <c r="F256" s="18">
        <v>0</v>
      </c>
      <c r="G256" s="18">
        <v>0</v>
      </c>
      <c r="H256" s="18">
        <v>0</v>
      </c>
      <c r="I256" s="18">
        <v>0</v>
      </c>
      <c r="J256" s="18">
        <v>0</v>
      </c>
      <c r="K256" s="18">
        <v>0</v>
      </c>
      <c r="L256" s="18">
        <v>0</v>
      </c>
      <c r="M256" s="18">
        <v>0</v>
      </c>
      <c r="N256" s="133">
        <f t="shared" si="80"/>
        <v>1</v>
      </c>
      <c r="O256" s="19">
        <f t="shared" si="81"/>
        <v>8.3333333333333329E-2</v>
      </c>
      <c r="P256" s="8"/>
      <c r="Q256" s="8"/>
      <c r="R256" s="8"/>
      <c r="S256" s="8"/>
      <c r="T256" s="8"/>
      <c r="U256" s="8"/>
      <c r="V256" s="8"/>
      <c r="W256" s="8"/>
      <c r="X256" s="8"/>
      <c r="Y256" s="8"/>
      <c r="Z256" s="8"/>
    </row>
    <row r="257" spans="1:26" s="9" customFormat="1" ht="15.75">
      <c r="A257" s="29" t="s">
        <v>124</v>
      </c>
      <c r="B257" s="18">
        <v>0</v>
      </c>
      <c r="C257" s="18">
        <v>0</v>
      </c>
      <c r="D257" s="18">
        <v>0</v>
      </c>
      <c r="E257" s="18">
        <v>0</v>
      </c>
      <c r="F257" s="18">
        <v>0</v>
      </c>
      <c r="G257" s="18">
        <v>0</v>
      </c>
      <c r="H257" s="18">
        <v>0</v>
      </c>
      <c r="I257" s="18">
        <v>0</v>
      </c>
      <c r="J257" s="18">
        <v>0</v>
      </c>
      <c r="K257" s="18">
        <v>0</v>
      </c>
      <c r="L257" s="18">
        <v>0</v>
      </c>
      <c r="M257" s="18">
        <v>0</v>
      </c>
      <c r="N257" s="133">
        <f t="shared" si="80"/>
        <v>0</v>
      </c>
      <c r="O257" s="19">
        <f t="shared" si="81"/>
        <v>0</v>
      </c>
      <c r="P257" s="8"/>
      <c r="Q257" s="8"/>
      <c r="R257" s="8"/>
      <c r="S257" s="8"/>
      <c r="T257" s="8"/>
      <c r="U257" s="8"/>
      <c r="V257" s="8"/>
      <c r="W257" s="8"/>
      <c r="X257" s="8"/>
      <c r="Y257" s="8"/>
      <c r="Z257" s="8"/>
    </row>
    <row r="258" spans="1:26" s="9" customFormat="1" ht="15.75">
      <c r="A258" s="29" t="s">
        <v>31</v>
      </c>
      <c r="B258" s="18">
        <v>0</v>
      </c>
      <c r="C258" s="18">
        <v>0</v>
      </c>
      <c r="D258" s="18">
        <v>0</v>
      </c>
      <c r="E258" s="18">
        <v>0</v>
      </c>
      <c r="F258" s="18">
        <v>0</v>
      </c>
      <c r="G258" s="18">
        <v>0</v>
      </c>
      <c r="H258" s="18">
        <v>0</v>
      </c>
      <c r="I258" s="18">
        <v>0</v>
      </c>
      <c r="J258" s="18">
        <v>0</v>
      </c>
      <c r="K258" s="18">
        <v>0</v>
      </c>
      <c r="L258" s="18">
        <v>0</v>
      </c>
      <c r="M258" s="18">
        <v>0</v>
      </c>
      <c r="N258" s="133">
        <f t="shared" ref="N258:N259" si="82">SUM(B258:M258)</f>
        <v>0</v>
      </c>
      <c r="O258" s="19">
        <f t="shared" ref="O258:O259" si="83">IF(N258=0,0,AVERAGE(B258:M258))</f>
        <v>0</v>
      </c>
      <c r="P258" s="8"/>
      <c r="Q258" s="8"/>
      <c r="R258" s="8"/>
      <c r="S258" s="8"/>
      <c r="T258" s="8"/>
      <c r="U258" s="8"/>
      <c r="V258" s="8"/>
      <c r="W258" s="8"/>
      <c r="X258" s="8"/>
      <c r="Y258" s="8"/>
      <c r="Z258" s="8"/>
    </row>
    <row r="259" spans="1:26" s="9" customFormat="1" ht="15.75">
      <c r="A259" s="29" t="s">
        <v>30</v>
      </c>
      <c r="B259" s="18">
        <v>0</v>
      </c>
      <c r="C259" s="18">
        <v>0</v>
      </c>
      <c r="D259" s="18">
        <v>0</v>
      </c>
      <c r="E259" s="18">
        <v>0</v>
      </c>
      <c r="F259" s="18">
        <v>0</v>
      </c>
      <c r="G259" s="18">
        <v>0</v>
      </c>
      <c r="H259" s="18">
        <v>0</v>
      </c>
      <c r="I259" s="18">
        <v>0</v>
      </c>
      <c r="J259" s="18">
        <v>0</v>
      </c>
      <c r="K259" s="18">
        <v>0</v>
      </c>
      <c r="L259" s="18">
        <v>0</v>
      </c>
      <c r="M259" s="18">
        <v>0</v>
      </c>
      <c r="N259" s="133">
        <f t="shared" si="82"/>
        <v>0</v>
      </c>
      <c r="O259" s="19">
        <f t="shared" si="83"/>
        <v>0</v>
      </c>
      <c r="P259" s="8"/>
      <c r="Q259" s="8"/>
      <c r="R259" s="8"/>
      <c r="S259" s="8"/>
      <c r="T259" s="8"/>
      <c r="U259" s="8"/>
      <c r="V259" s="8"/>
      <c r="W259" s="8"/>
      <c r="X259" s="8"/>
      <c r="Y259" s="8"/>
      <c r="Z259" s="8"/>
    </row>
    <row r="260" spans="1:26" s="9" customFormat="1" ht="15.75">
      <c r="A260" s="29" t="s">
        <v>319</v>
      </c>
      <c r="B260" s="18">
        <v>0</v>
      </c>
      <c r="C260" s="18">
        <v>0</v>
      </c>
      <c r="D260" s="18">
        <v>0</v>
      </c>
      <c r="E260" s="18">
        <v>0</v>
      </c>
      <c r="F260" s="18">
        <v>0</v>
      </c>
      <c r="G260" s="18">
        <v>0</v>
      </c>
      <c r="H260" s="18">
        <v>0</v>
      </c>
      <c r="I260" s="18">
        <v>0</v>
      </c>
      <c r="J260" s="18">
        <v>0</v>
      </c>
      <c r="K260" s="18">
        <v>0</v>
      </c>
      <c r="L260" s="18">
        <v>0</v>
      </c>
      <c r="M260" s="18">
        <v>0</v>
      </c>
      <c r="N260" s="133">
        <f t="shared" si="80"/>
        <v>0</v>
      </c>
      <c r="O260" s="19">
        <f t="shared" si="81"/>
        <v>0</v>
      </c>
      <c r="P260" s="8"/>
      <c r="Q260" s="8"/>
      <c r="R260" s="8"/>
      <c r="S260" s="8"/>
      <c r="T260" s="8"/>
      <c r="U260" s="8"/>
      <c r="V260" s="8"/>
      <c r="W260" s="8"/>
      <c r="X260" s="8"/>
      <c r="Y260" s="8"/>
      <c r="Z260" s="8"/>
    </row>
    <row r="261" spans="1:26" s="9" customFormat="1" ht="15.75">
      <c r="A261" s="29" t="s">
        <v>125</v>
      </c>
      <c r="B261" s="18">
        <v>0</v>
      </c>
      <c r="C261" s="18">
        <v>0</v>
      </c>
      <c r="D261" s="18">
        <v>0</v>
      </c>
      <c r="E261" s="18">
        <v>0</v>
      </c>
      <c r="F261" s="18">
        <v>0</v>
      </c>
      <c r="G261" s="18">
        <v>0</v>
      </c>
      <c r="H261" s="18">
        <v>0</v>
      </c>
      <c r="I261" s="18">
        <v>0</v>
      </c>
      <c r="J261" s="18">
        <v>0</v>
      </c>
      <c r="K261" s="18">
        <v>0</v>
      </c>
      <c r="L261" s="18">
        <v>0</v>
      </c>
      <c r="M261" s="18">
        <v>0</v>
      </c>
      <c r="N261" s="133">
        <f t="shared" si="80"/>
        <v>0</v>
      </c>
      <c r="O261" s="19">
        <f t="shared" si="81"/>
        <v>0</v>
      </c>
      <c r="P261" s="10"/>
      <c r="Q261" s="10"/>
      <c r="R261" s="10"/>
      <c r="S261" s="10"/>
      <c r="T261" s="10"/>
      <c r="U261" s="10"/>
      <c r="V261" s="10"/>
      <c r="W261" s="10"/>
      <c r="X261" s="10"/>
      <c r="Y261" s="10"/>
      <c r="Z261" s="10"/>
    </row>
    <row r="262" spans="1:26" s="9" customFormat="1" ht="15.75">
      <c r="A262" s="29" t="s">
        <v>720</v>
      </c>
      <c r="B262" s="18">
        <v>0</v>
      </c>
      <c r="C262" s="18">
        <v>0</v>
      </c>
      <c r="D262" s="18">
        <v>0</v>
      </c>
      <c r="E262" s="18">
        <v>0</v>
      </c>
      <c r="F262" s="18">
        <v>0</v>
      </c>
      <c r="G262" s="18">
        <v>0</v>
      </c>
      <c r="H262" s="18">
        <v>0</v>
      </c>
      <c r="I262" s="18">
        <v>0</v>
      </c>
      <c r="J262" s="18">
        <v>0</v>
      </c>
      <c r="K262" s="18">
        <v>0</v>
      </c>
      <c r="L262" s="18">
        <v>0</v>
      </c>
      <c r="M262" s="18">
        <v>0</v>
      </c>
      <c r="N262" s="133">
        <f t="shared" si="80"/>
        <v>0</v>
      </c>
      <c r="O262" s="19">
        <f t="shared" si="81"/>
        <v>0</v>
      </c>
      <c r="P262" s="10"/>
      <c r="Q262" s="10"/>
      <c r="R262" s="10"/>
      <c r="S262" s="10"/>
      <c r="T262" s="10"/>
      <c r="U262" s="10"/>
      <c r="V262" s="10"/>
      <c r="W262" s="10"/>
      <c r="X262" s="10"/>
      <c r="Y262" s="10"/>
      <c r="Z262" s="10"/>
    </row>
    <row r="263" spans="1:26" s="9" customFormat="1" ht="15.75">
      <c r="A263" s="29" t="s">
        <v>32</v>
      </c>
      <c r="B263" s="18">
        <v>4</v>
      </c>
      <c r="C263" s="18">
        <v>8</v>
      </c>
      <c r="D263" s="18">
        <v>10</v>
      </c>
      <c r="E263" s="18">
        <v>17</v>
      </c>
      <c r="F263" s="18">
        <v>4</v>
      </c>
      <c r="G263" s="18">
        <v>7</v>
      </c>
      <c r="H263" s="18">
        <v>11</v>
      </c>
      <c r="I263" s="18">
        <v>10</v>
      </c>
      <c r="J263" s="18">
        <v>3</v>
      </c>
      <c r="K263" s="18">
        <v>8</v>
      </c>
      <c r="L263" s="18">
        <v>13</v>
      </c>
      <c r="M263" s="18">
        <v>10</v>
      </c>
      <c r="N263" s="133">
        <f t="shared" si="80"/>
        <v>105</v>
      </c>
      <c r="O263" s="19">
        <f t="shared" si="81"/>
        <v>8.75</v>
      </c>
      <c r="P263" s="8"/>
      <c r="Q263" s="8"/>
      <c r="R263" s="8"/>
      <c r="S263" s="8"/>
      <c r="T263" s="8"/>
      <c r="U263" s="8"/>
      <c r="V263" s="8"/>
      <c r="W263" s="8"/>
      <c r="X263" s="8"/>
      <c r="Y263" s="8"/>
      <c r="Z263" s="8"/>
    </row>
    <row r="264" spans="1:26" s="9" customFormat="1" ht="15.75">
      <c r="A264" s="29" t="s">
        <v>722</v>
      </c>
      <c r="B264" s="18">
        <v>0</v>
      </c>
      <c r="C264" s="18">
        <v>0</v>
      </c>
      <c r="D264" s="18">
        <v>0</v>
      </c>
      <c r="E264" s="18">
        <v>1</v>
      </c>
      <c r="F264" s="18">
        <v>0</v>
      </c>
      <c r="G264" s="18">
        <v>0</v>
      </c>
      <c r="H264" s="18">
        <v>0</v>
      </c>
      <c r="I264" s="18">
        <v>0</v>
      </c>
      <c r="J264" s="18">
        <v>0</v>
      </c>
      <c r="K264" s="18">
        <v>0</v>
      </c>
      <c r="L264" s="18">
        <v>0</v>
      </c>
      <c r="M264" s="18">
        <v>0</v>
      </c>
      <c r="N264" s="133">
        <f t="shared" si="80"/>
        <v>1</v>
      </c>
      <c r="O264" s="19">
        <f t="shared" si="81"/>
        <v>8.3333333333333329E-2</v>
      </c>
      <c r="P264" s="8"/>
      <c r="Q264" s="8"/>
      <c r="R264" s="8"/>
      <c r="S264" s="8"/>
      <c r="T264" s="8"/>
      <c r="U264" s="8"/>
      <c r="V264" s="8"/>
      <c r="W264" s="8"/>
      <c r="X264" s="8"/>
      <c r="Y264" s="8"/>
      <c r="Z264" s="8"/>
    </row>
    <row r="265" spans="1:26" s="9" customFormat="1" ht="15.75">
      <c r="A265" s="29" t="s">
        <v>723</v>
      </c>
      <c r="B265" s="18">
        <v>0</v>
      </c>
      <c r="C265" s="18">
        <v>0</v>
      </c>
      <c r="D265" s="18">
        <v>0</v>
      </c>
      <c r="E265" s="18">
        <v>0</v>
      </c>
      <c r="F265" s="18">
        <v>0</v>
      </c>
      <c r="G265" s="18">
        <v>0</v>
      </c>
      <c r="H265" s="18">
        <v>0</v>
      </c>
      <c r="I265" s="18">
        <v>0</v>
      </c>
      <c r="J265" s="18">
        <v>0</v>
      </c>
      <c r="K265" s="18">
        <v>0</v>
      </c>
      <c r="L265" s="18">
        <v>0</v>
      </c>
      <c r="M265" s="18">
        <v>0</v>
      </c>
      <c r="N265" s="133">
        <f t="shared" ref="N265" si="84">SUM(B265:M265)</f>
        <v>0</v>
      </c>
      <c r="O265" s="19">
        <f t="shared" ref="O265" si="85">IF(N265=0,0,AVERAGE(B265:M265))</f>
        <v>0</v>
      </c>
      <c r="P265" s="8"/>
      <c r="Q265" s="8"/>
      <c r="R265" s="8"/>
      <c r="S265" s="8"/>
      <c r="T265" s="8"/>
      <c r="U265" s="8"/>
      <c r="V265" s="8"/>
      <c r="W265" s="8"/>
      <c r="X265" s="8"/>
      <c r="Y265" s="8"/>
      <c r="Z265" s="8"/>
    </row>
    <row r="266" spans="1:26" s="9" customFormat="1" ht="15.75">
      <c r="A266" s="29" t="s">
        <v>33</v>
      </c>
      <c r="B266" s="18">
        <v>0</v>
      </c>
      <c r="C266" s="18">
        <v>0</v>
      </c>
      <c r="D266" s="18">
        <v>0</v>
      </c>
      <c r="E266" s="18">
        <v>0</v>
      </c>
      <c r="F266" s="18">
        <v>0</v>
      </c>
      <c r="G266" s="18">
        <v>0</v>
      </c>
      <c r="H266" s="18">
        <v>0</v>
      </c>
      <c r="I266" s="18">
        <v>1</v>
      </c>
      <c r="J266" s="18">
        <v>0</v>
      </c>
      <c r="K266" s="18">
        <v>0</v>
      </c>
      <c r="L266" s="18">
        <v>0</v>
      </c>
      <c r="M266" s="18">
        <v>0</v>
      </c>
      <c r="N266" s="133">
        <f t="shared" si="80"/>
        <v>1</v>
      </c>
      <c r="O266" s="19">
        <f t="shared" si="81"/>
        <v>8.3333333333333329E-2</v>
      </c>
      <c r="P266" s="8"/>
      <c r="Q266" s="8"/>
      <c r="R266" s="8"/>
      <c r="S266" s="8"/>
      <c r="T266" s="8"/>
      <c r="U266" s="8"/>
      <c r="V266" s="8"/>
      <c r="W266" s="8"/>
      <c r="X266" s="8"/>
      <c r="Y266" s="8"/>
      <c r="Z266" s="8"/>
    </row>
    <row r="267" spans="1:26" s="9" customFormat="1" ht="15.75">
      <c r="A267" s="29" t="s">
        <v>34</v>
      </c>
      <c r="B267" s="18">
        <v>0</v>
      </c>
      <c r="C267" s="18">
        <v>1</v>
      </c>
      <c r="D267" s="18">
        <v>0</v>
      </c>
      <c r="E267" s="18">
        <v>0</v>
      </c>
      <c r="F267" s="18">
        <v>0</v>
      </c>
      <c r="G267" s="18">
        <v>0</v>
      </c>
      <c r="H267" s="18">
        <v>0</v>
      </c>
      <c r="I267" s="18">
        <v>0</v>
      </c>
      <c r="J267" s="18">
        <v>0</v>
      </c>
      <c r="K267" s="18">
        <v>0</v>
      </c>
      <c r="L267" s="18">
        <v>0</v>
      </c>
      <c r="M267" s="18">
        <v>1</v>
      </c>
      <c r="N267" s="133">
        <f t="shared" si="80"/>
        <v>2</v>
      </c>
      <c r="O267" s="19">
        <f t="shared" si="81"/>
        <v>0.16666666666666666</v>
      </c>
      <c r="P267" s="8"/>
      <c r="Q267" s="8"/>
      <c r="R267" s="8"/>
      <c r="S267" s="8"/>
      <c r="T267" s="8"/>
      <c r="U267" s="8"/>
      <c r="V267" s="8"/>
      <c r="W267" s="8"/>
      <c r="X267" s="8"/>
      <c r="Y267" s="8"/>
      <c r="Z267" s="8"/>
    </row>
    <row r="268" spans="1:26" s="9" customFormat="1" ht="15.75">
      <c r="A268" s="29" t="s">
        <v>35</v>
      </c>
      <c r="B268" s="18">
        <v>0</v>
      </c>
      <c r="C268" s="18">
        <v>0</v>
      </c>
      <c r="D268" s="18">
        <v>0</v>
      </c>
      <c r="E268" s="18">
        <v>0</v>
      </c>
      <c r="F268" s="18">
        <v>1</v>
      </c>
      <c r="G268" s="18">
        <v>0</v>
      </c>
      <c r="H268" s="18">
        <v>0</v>
      </c>
      <c r="I268" s="18">
        <v>0</v>
      </c>
      <c r="J268" s="18">
        <v>0</v>
      </c>
      <c r="K268" s="18">
        <v>0</v>
      </c>
      <c r="L268" s="18">
        <v>0</v>
      </c>
      <c r="M268" s="18">
        <v>0</v>
      </c>
      <c r="N268" s="133">
        <f t="shared" si="80"/>
        <v>1</v>
      </c>
      <c r="O268" s="19">
        <f t="shared" si="81"/>
        <v>8.3333333333333329E-2</v>
      </c>
      <c r="P268" s="8"/>
      <c r="Q268" s="8"/>
      <c r="R268" s="8"/>
      <c r="S268" s="8"/>
      <c r="T268" s="8"/>
      <c r="U268" s="8"/>
      <c r="V268" s="8"/>
      <c r="W268" s="8"/>
      <c r="X268" s="8"/>
      <c r="Y268" s="8"/>
      <c r="Z268" s="8"/>
    </row>
    <row r="269" spans="1:26" s="9" customFormat="1" ht="15.75">
      <c r="A269" s="20" t="s">
        <v>21</v>
      </c>
      <c r="B269" s="21">
        <f t="shared" ref="B269:I269" si="86">IF(SUM(B249:B268)=0,"",SUM(B249:B268))</f>
        <v>5</v>
      </c>
      <c r="C269" s="21">
        <f t="shared" si="86"/>
        <v>11</v>
      </c>
      <c r="D269" s="21">
        <f t="shared" si="86"/>
        <v>14</v>
      </c>
      <c r="E269" s="21">
        <f t="shared" si="86"/>
        <v>22</v>
      </c>
      <c r="F269" s="21">
        <f t="shared" si="86"/>
        <v>8</v>
      </c>
      <c r="G269" s="21">
        <f t="shared" si="86"/>
        <v>11</v>
      </c>
      <c r="H269" s="21">
        <f t="shared" si="86"/>
        <v>14</v>
      </c>
      <c r="I269" s="21">
        <f t="shared" si="86"/>
        <v>13</v>
      </c>
      <c r="J269" s="21">
        <f t="shared" ref="J269:M269" si="87">IF(SUM(J249:J268)=0,"",SUM(J249:J268))</f>
        <v>11</v>
      </c>
      <c r="K269" s="21">
        <f t="shared" si="87"/>
        <v>12</v>
      </c>
      <c r="L269" s="21">
        <f t="shared" si="87"/>
        <v>14</v>
      </c>
      <c r="M269" s="21">
        <f t="shared" si="87"/>
        <v>14</v>
      </c>
      <c r="N269" s="128">
        <f>SUM(N249:N268)</f>
        <v>149</v>
      </c>
      <c r="O269" s="22">
        <f>SUM(O249:O268)</f>
        <v>12.416666666666668</v>
      </c>
      <c r="P269" s="8"/>
      <c r="Q269" s="8"/>
      <c r="R269" s="8"/>
      <c r="S269" s="8"/>
      <c r="T269" s="8"/>
      <c r="U269" s="8"/>
      <c r="V269" s="8"/>
      <c r="W269" s="8"/>
      <c r="X269" s="8"/>
      <c r="Y269" s="8"/>
      <c r="Z269" s="8"/>
    </row>
    <row r="270" spans="1:26" s="9" customFormat="1">
      <c r="A270" s="23"/>
      <c r="B270" s="24"/>
      <c r="C270" s="24"/>
      <c r="D270" s="24"/>
      <c r="E270" s="25"/>
      <c r="F270" s="25"/>
      <c r="G270" s="25"/>
      <c r="H270" s="25"/>
      <c r="I270" s="25"/>
      <c r="J270" s="25"/>
      <c r="K270" s="25"/>
      <c r="L270" s="25"/>
      <c r="M270" s="25"/>
      <c r="N270" s="134"/>
      <c r="O270" s="13"/>
      <c r="P270" s="8"/>
      <c r="Q270" s="8"/>
      <c r="R270" s="8"/>
      <c r="S270" s="8"/>
      <c r="T270" s="8"/>
      <c r="U270" s="8"/>
      <c r="V270" s="8"/>
      <c r="W270" s="8"/>
      <c r="X270" s="8"/>
      <c r="Y270" s="8"/>
      <c r="Z270" s="8"/>
    </row>
    <row r="271" spans="1:26" s="9" customFormat="1" ht="15.75">
      <c r="A271" s="165" t="s">
        <v>72</v>
      </c>
      <c r="B271" s="166"/>
      <c r="C271" s="166"/>
      <c r="D271" s="166"/>
      <c r="E271" s="166"/>
      <c r="F271" s="166"/>
      <c r="G271" s="166"/>
      <c r="H271" s="166"/>
      <c r="I271" s="166"/>
      <c r="J271" s="166"/>
      <c r="K271" s="166"/>
      <c r="L271" s="166"/>
      <c r="M271" s="166"/>
      <c r="N271" s="167"/>
      <c r="O271" s="168"/>
      <c r="P271" s="10"/>
      <c r="Q271" s="10"/>
      <c r="R271" s="10"/>
      <c r="S271" s="10"/>
      <c r="T271" s="10"/>
      <c r="U271" s="10"/>
      <c r="V271" s="10"/>
      <c r="W271" s="10"/>
      <c r="X271" s="10"/>
      <c r="Y271" s="10"/>
      <c r="Z271" s="10"/>
    </row>
    <row r="272" spans="1:26" s="9" customFormat="1" ht="15.75">
      <c r="A272" s="37" t="s">
        <v>18</v>
      </c>
      <c r="B272" s="18">
        <v>0</v>
      </c>
      <c r="C272" s="18">
        <v>0</v>
      </c>
      <c r="D272" s="18">
        <v>1</v>
      </c>
      <c r="E272" s="18">
        <v>0</v>
      </c>
      <c r="F272" s="18">
        <v>0</v>
      </c>
      <c r="G272" s="18">
        <v>2</v>
      </c>
      <c r="H272" s="18">
        <v>1</v>
      </c>
      <c r="I272" s="18">
        <v>0</v>
      </c>
      <c r="J272" s="18">
        <v>0</v>
      </c>
      <c r="K272" s="18">
        <v>1</v>
      </c>
      <c r="L272" s="18">
        <v>1</v>
      </c>
      <c r="M272" s="18">
        <v>0</v>
      </c>
      <c r="N272" s="133">
        <f>SUM(B272:M272)</f>
        <v>6</v>
      </c>
      <c r="O272" s="19">
        <f>IF(N272=0,0,AVERAGE(B272:M272))</f>
        <v>0.5</v>
      </c>
      <c r="P272" s="10"/>
      <c r="Q272" s="10"/>
      <c r="R272" s="10"/>
      <c r="S272" s="10"/>
      <c r="T272" s="10"/>
      <c r="U272" s="10"/>
      <c r="V272" s="10"/>
      <c r="W272" s="10"/>
      <c r="X272" s="10"/>
      <c r="Y272" s="10"/>
      <c r="Z272" s="10"/>
    </row>
    <row r="273" spans="1:26" s="9" customFormat="1" ht="15.75">
      <c r="A273" s="37" t="s">
        <v>19</v>
      </c>
      <c r="B273" s="18">
        <v>1</v>
      </c>
      <c r="C273" s="18">
        <v>9</v>
      </c>
      <c r="D273" s="18">
        <v>3</v>
      </c>
      <c r="E273" s="18">
        <v>3</v>
      </c>
      <c r="F273" s="18">
        <v>3</v>
      </c>
      <c r="G273" s="18">
        <v>2</v>
      </c>
      <c r="H273" s="18">
        <v>2</v>
      </c>
      <c r="I273" s="18">
        <v>2</v>
      </c>
      <c r="J273" s="18">
        <v>3</v>
      </c>
      <c r="K273" s="18">
        <v>0</v>
      </c>
      <c r="L273" s="18">
        <v>0</v>
      </c>
      <c r="M273" s="18">
        <v>2</v>
      </c>
      <c r="N273" s="133">
        <f>SUM(B273:M273)</f>
        <v>30</v>
      </c>
      <c r="O273" s="19">
        <f>IF(N273=0,0,AVERAGE(B273:M273))</f>
        <v>2.5</v>
      </c>
      <c r="P273" s="8"/>
      <c r="Q273" s="8"/>
      <c r="R273" s="8"/>
      <c r="S273" s="8"/>
      <c r="T273" s="8"/>
      <c r="U273" s="8"/>
      <c r="V273" s="8"/>
      <c r="W273" s="8"/>
      <c r="X273" s="8"/>
      <c r="Y273" s="8"/>
      <c r="Z273" s="8"/>
    </row>
    <row r="274" spans="1:26" s="9" customFormat="1" ht="15.75">
      <c r="A274" s="37" t="s">
        <v>20</v>
      </c>
      <c r="B274" s="18">
        <v>4</v>
      </c>
      <c r="C274" s="18">
        <v>2</v>
      </c>
      <c r="D274" s="18">
        <v>10</v>
      </c>
      <c r="E274" s="18">
        <v>19</v>
      </c>
      <c r="F274" s="18">
        <v>5</v>
      </c>
      <c r="G274" s="18">
        <v>7</v>
      </c>
      <c r="H274" s="18">
        <v>11</v>
      </c>
      <c r="I274" s="18">
        <v>11</v>
      </c>
      <c r="J274" s="18">
        <v>8</v>
      </c>
      <c r="K274" s="18">
        <v>11</v>
      </c>
      <c r="L274" s="18">
        <v>13</v>
      </c>
      <c r="M274" s="18">
        <v>12</v>
      </c>
      <c r="N274" s="133">
        <f>SUM(B274:M274)</f>
        <v>113</v>
      </c>
      <c r="O274" s="19">
        <f>IF(N274=0,0,AVERAGE(B274:M274))</f>
        <v>9.4166666666666661</v>
      </c>
      <c r="P274" s="8"/>
      <c r="Q274" s="8"/>
      <c r="R274" s="8"/>
      <c r="S274" s="8"/>
      <c r="T274" s="8"/>
      <c r="U274" s="8"/>
      <c r="V274" s="8"/>
      <c r="W274" s="8"/>
      <c r="X274" s="8"/>
      <c r="Y274" s="8"/>
      <c r="Z274" s="8"/>
    </row>
    <row r="275" spans="1:26" s="9" customFormat="1" ht="15.75">
      <c r="A275" s="20" t="s">
        <v>21</v>
      </c>
      <c r="B275" s="21">
        <f t="shared" ref="B275:M275" si="88">IF(SUM(B272:B274)=0,"",SUM(B272:B274))</f>
        <v>5</v>
      </c>
      <c r="C275" s="21">
        <f t="shared" si="88"/>
        <v>11</v>
      </c>
      <c r="D275" s="21">
        <f t="shared" si="88"/>
        <v>14</v>
      </c>
      <c r="E275" s="21">
        <f t="shared" si="88"/>
        <v>22</v>
      </c>
      <c r="F275" s="21">
        <f t="shared" si="88"/>
        <v>8</v>
      </c>
      <c r="G275" s="21">
        <f t="shared" si="88"/>
        <v>11</v>
      </c>
      <c r="H275" s="21">
        <f t="shared" si="88"/>
        <v>14</v>
      </c>
      <c r="I275" s="21">
        <f t="shared" si="88"/>
        <v>13</v>
      </c>
      <c r="J275" s="21">
        <f t="shared" si="88"/>
        <v>11</v>
      </c>
      <c r="K275" s="21">
        <f t="shared" si="88"/>
        <v>12</v>
      </c>
      <c r="L275" s="21">
        <f t="shared" si="88"/>
        <v>14</v>
      </c>
      <c r="M275" s="21">
        <f t="shared" si="88"/>
        <v>14</v>
      </c>
      <c r="N275" s="128">
        <f>SUM(N272:N274)</f>
        <v>149</v>
      </c>
      <c r="O275" s="22">
        <f>SUM(O272:O274)</f>
        <v>12.416666666666666</v>
      </c>
      <c r="P275" s="8"/>
      <c r="Q275" s="8"/>
      <c r="R275" s="8"/>
      <c r="S275" s="8"/>
      <c r="T275" s="8"/>
      <c r="U275" s="8"/>
      <c r="V275" s="8"/>
      <c r="W275" s="8"/>
      <c r="X275" s="8"/>
      <c r="Y275" s="8"/>
      <c r="Z275" s="8"/>
    </row>
    <row r="276" spans="1:26" s="9" customFormat="1" ht="15.75">
      <c r="A276" s="23"/>
      <c r="B276" s="38"/>
      <c r="C276" s="38"/>
      <c r="D276" s="38"/>
      <c r="E276" s="39"/>
      <c r="F276" s="39"/>
      <c r="G276" s="39"/>
      <c r="H276" s="39"/>
      <c r="I276" s="39"/>
      <c r="J276" s="39"/>
      <c r="K276" s="39"/>
      <c r="L276" s="39"/>
      <c r="M276" s="39"/>
      <c r="N276" s="137"/>
      <c r="O276" s="40"/>
      <c r="P276" s="10"/>
      <c r="Q276" s="10"/>
      <c r="R276" s="10"/>
      <c r="S276" s="10"/>
      <c r="T276" s="10"/>
      <c r="U276" s="10"/>
      <c r="V276" s="10"/>
      <c r="W276" s="10"/>
      <c r="X276" s="10"/>
      <c r="Y276" s="10"/>
      <c r="Z276" s="10"/>
    </row>
    <row r="277" spans="1:26" s="9" customFormat="1" ht="15.75">
      <c r="A277" s="165" t="s">
        <v>715</v>
      </c>
      <c r="B277" s="166"/>
      <c r="C277" s="166"/>
      <c r="D277" s="166"/>
      <c r="E277" s="166"/>
      <c r="F277" s="166"/>
      <c r="G277" s="166"/>
      <c r="H277" s="166"/>
      <c r="I277" s="166"/>
      <c r="J277" s="166"/>
      <c r="K277" s="166"/>
      <c r="L277" s="166"/>
      <c r="M277" s="166"/>
      <c r="N277" s="167"/>
      <c r="O277" s="168"/>
      <c r="P277" s="8"/>
      <c r="Q277" s="8"/>
      <c r="R277" s="8"/>
      <c r="S277" s="8"/>
      <c r="T277" s="8"/>
      <c r="U277" s="8"/>
      <c r="V277" s="8"/>
      <c r="W277" s="8"/>
      <c r="X277" s="8"/>
      <c r="Y277" s="8"/>
      <c r="Z277" s="8"/>
    </row>
    <row r="278" spans="1:26" s="9" customFormat="1" ht="15.75">
      <c r="A278" s="29" t="s">
        <v>25</v>
      </c>
      <c r="B278" s="18">
        <v>0</v>
      </c>
      <c r="C278" s="18">
        <v>0</v>
      </c>
      <c r="D278" s="18">
        <v>0</v>
      </c>
      <c r="E278" s="18">
        <v>0</v>
      </c>
      <c r="F278" s="18">
        <v>0</v>
      </c>
      <c r="G278" s="18">
        <v>0</v>
      </c>
      <c r="H278" s="18">
        <v>0</v>
      </c>
      <c r="I278" s="18">
        <v>0</v>
      </c>
      <c r="J278" s="18">
        <v>0</v>
      </c>
      <c r="K278" s="18">
        <v>1</v>
      </c>
      <c r="L278" s="18">
        <v>0</v>
      </c>
      <c r="M278" s="18">
        <v>0</v>
      </c>
      <c r="N278" s="133">
        <f t="shared" ref="N278:N279" si="89">SUM(B278:M278)</f>
        <v>1</v>
      </c>
      <c r="O278" s="19">
        <f t="shared" ref="O278:O279" si="90">IF(N278=0,0,AVERAGE(B278:M278))</f>
        <v>8.3333333333333329E-2</v>
      </c>
      <c r="P278" s="8"/>
      <c r="Q278" s="8"/>
      <c r="R278" s="8"/>
      <c r="S278" s="8"/>
      <c r="T278" s="8"/>
      <c r="U278" s="8"/>
      <c r="V278" s="8"/>
      <c r="W278" s="8"/>
      <c r="X278" s="8"/>
      <c r="Y278" s="8"/>
      <c r="Z278" s="8"/>
    </row>
    <row r="279" spans="1:26" s="9" customFormat="1" ht="15.75">
      <c r="A279" s="29" t="s">
        <v>19</v>
      </c>
      <c r="B279" s="18">
        <v>0</v>
      </c>
      <c r="C279" s="18">
        <v>0</v>
      </c>
      <c r="D279" s="18">
        <v>1</v>
      </c>
      <c r="E279" s="18">
        <v>0</v>
      </c>
      <c r="F279" s="18">
        <v>0</v>
      </c>
      <c r="G279" s="18">
        <v>0</v>
      </c>
      <c r="H279" s="18">
        <v>0</v>
      </c>
      <c r="I279" s="18">
        <v>0</v>
      </c>
      <c r="J279" s="18">
        <v>0</v>
      </c>
      <c r="K279" s="18">
        <v>0</v>
      </c>
      <c r="L279" s="18">
        <v>0</v>
      </c>
      <c r="M279" s="18">
        <v>0</v>
      </c>
      <c r="N279" s="133">
        <f t="shared" si="89"/>
        <v>1</v>
      </c>
      <c r="O279" s="19">
        <f t="shared" si="90"/>
        <v>8.3333333333333329E-2</v>
      </c>
      <c r="P279" s="8"/>
      <c r="Q279" s="8"/>
      <c r="R279" s="8"/>
      <c r="S279" s="8"/>
      <c r="T279" s="8"/>
      <c r="U279" s="8"/>
      <c r="V279" s="8"/>
      <c r="W279" s="8"/>
      <c r="X279" s="8"/>
      <c r="Y279" s="8"/>
      <c r="Z279" s="8"/>
    </row>
    <row r="280" spans="1:26" s="9" customFormat="1" ht="15.75">
      <c r="A280" s="29" t="s">
        <v>43</v>
      </c>
      <c r="B280" s="18">
        <v>0</v>
      </c>
      <c r="C280" s="18">
        <v>1</v>
      </c>
      <c r="D280" s="18">
        <v>0</v>
      </c>
      <c r="E280" s="18">
        <v>0</v>
      </c>
      <c r="F280" s="18">
        <v>0</v>
      </c>
      <c r="G280" s="18">
        <v>0</v>
      </c>
      <c r="H280" s="18">
        <v>1</v>
      </c>
      <c r="I280" s="18">
        <v>0</v>
      </c>
      <c r="J280" s="18">
        <v>0</v>
      </c>
      <c r="K280" s="18">
        <v>0</v>
      </c>
      <c r="L280" s="18">
        <v>0</v>
      </c>
      <c r="M280" s="18">
        <v>2</v>
      </c>
      <c r="N280" s="133">
        <f t="shared" ref="N280" si="91">SUM(B280:M280)</f>
        <v>4</v>
      </c>
      <c r="O280" s="19">
        <f t="shared" ref="O280" si="92">IF(N280=0,0,AVERAGE(B280:M280))</f>
        <v>0.33333333333333331</v>
      </c>
      <c r="P280" s="8"/>
      <c r="Q280" s="8"/>
      <c r="R280" s="8"/>
      <c r="S280" s="8"/>
      <c r="T280" s="8"/>
      <c r="U280" s="8"/>
      <c r="V280" s="8"/>
      <c r="W280" s="8"/>
      <c r="X280" s="8"/>
      <c r="Y280" s="8"/>
      <c r="Z280" s="8"/>
    </row>
    <row r="281" spans="1:26" s="9" customFormat="1" ht="15.75">
      <c r="A281" s="20" t="s">
        <v>21</v>
      </c>
      <c r="B281" s="21">
        <v>0</v>
      </c>
      <c r="C281" s="21">
        <f>IF(SUM(C278:C280)=0,"",SUM(C278:C280))</f>
        <v>1</v>
      </c>
      <c r="D281" s="21">
        <f>IF(SUM(D278:D280)=0,"",SUM(D278:D280))</f>
        <v>1</v>
      </c>
      <c r="E281" s="21">
        <v>0</v>
      </c>
      <c r="F281" s="21">
        <v>0</v>
      </c>
      <c r="G281" s="21">
        <v>0</v>
      </c>
      <c r="H281" s="21">
        <v>0</v>
      </c>
      <c r="I281" s="21">
        <v>0</v>
      </c>
      <c r="J281" s="21">
        <v>0</v>
      </c>
      <c r="K281" s="21">
        <f>IF(SUM(K278:K280)=0,"",SUM(K278:K280))</f>
        <v>1</v>
      </c>
      <c r="L281" s="21">
        <v>0</v>
      </c>
      <c r="M281" s="21">
        <f>IF(SUM(M278:M280)=0,"",SUM(M278:M280))</f>
        <v>2</v>
      </c>
      <c r="N281" s="128">
        <f>SUM(N278:N280)</f>
        <v>6</v>
      </c>
      <c r="O281" s="22">
        <f>SUM(O278:O280)</f>
        <v>0.5</v>
      </c>
      <c r="P281" s="8"/>
      <c r="Q281" s="8"/>
      <c r="R281" s="8"/>
      <c r="S281" s="8"/>
      <c r="T281" s="8"/>
      <c r="U281" s="8"/>
      <c r="V281" s="8"/>
      <c r="W281" s="8"/>
      <c r="X281" s="8"/>
      <c r="Y281" s="8"/>
      <c r="Z281" s="8"/>
    </row>
    <row r="282" spans="1:26" s="9" customFormat="1">
      <c r="A282" s="30"/>
      <c r="B282" s="31"/>
      <c r="C282" s="31"/>
      <c r="D282" s="31"/>
      <c r="E282" s="32"/>
      <c r="F282" s="32"/>
      <c r="G282" s="32"/>
      <c r="H282" s="32"/>
      <c r="I282" s="32"/>
      <c r="J282" s="32"/>
      <c r="K282" s="32"/>
      <c r="L282" s="32"/>
      <c r="M282" s="32"/>
      <c r="N282" s="136"/>
      <c r="O282" s="13"/>
      <c r="P282" s="8"/>
      <c r="Q282" s="8"/>
      <c r="R282" s="8"/>
      <c r="S282" s="8"/>
      <c r="T282" s="8"/>
      <c r="U282" s="8"/>
      <c r="V282" s="8"/>
      <c r="W282" s="8"/>
      <c r="X282" s="8"/>
      <c r="Y282" s="8"/>
      <c r="Z282" s="8"/>
    </row>
    <row r="283" spans="1:26" s="9" customFormat="1" ht="15.75">
      <c r="A283" s="165" t="s">
        <v>716</v>
      </c>
      <c r="B283" s="166"/>
      <c r="C283" s="166"/>
      <c r="D283" s="166"/>
      <c r="E283" s="166"/>
      <c r="F283" s="166"/>
      <c r="G283" s="166"/>
      <c r="H283" s="166"/>
      <c r="I283" s="166"/>
      <c r="J283" s="166"/>
      <c r="K283" s="166"/>
      <c r="L283" s="166"/>
      <c r="M283" s="166"/>
      <c r="N283" s="167"/>
      <c r="O283" s="168"/>
      <c r="P283" s="8"/>
      <c r="Q283" s="8"/>
      <c r="R283" s="8"/>
      <c r="S283" s="8"/>
      <c r="T283" s="8"/>
      <c r="U283" s="8"/>
      <c r="V283" s="8"/>
      <c r="W283" s="8"/>
      <c r="X283" s="8"/>
      <c r="Y283" s="8"/>
      <c r="Z283" s="8"/>
    </row>
    <row r="284" spans="1:26" s="9" customFormat="1" ht="15.75">
      <c r="A284" s="29" t="s">
        <v>25</v>
      </c>
      <c r="B284" s="18">
        <v>0</v>
      </c>
      <c r="C284" s="18">
        <v>0</v>
      </c>
      <c r="D284" s="18">
        <v>1</v>
      </c>
      <c r="E284" s="18">
        <v>0</v>
      </c>
      <c r="F284" s="18">
        <v>0</v>
      </c>
      <c r="G284" s="18">
        <v>2</v>
      </c>
      <c r="H284" s="18">
        <v>2</v>
      </c>
      <c r="I284" s="18">
        <v>0</v>
      </c>
      <c r="J284" s="18">
        <v>0</v>
      </c>
      <c r="K284" s="18">
        <v>0</v>
      </c>
      <c r="L284" s="18">
        <v>1</v>
      </c>
      <c r="M284" s="18">
        <v>0</v>
      </c>
      <c r="N284" s="133">
        <f t="shared" ref="N284:N286" si="93">SUM(B284:M284)</f>
        <v>6</v>
      </c>
      <c r="O284" s="19">
        <f t="shared" ref="O284:O286" si="94">IF(N284=0,0,AVERAGE(B284:M284))</f>
        <v>0.5</v>
      </c>
      <c r="P284" s="10"/>
      <c r="Q284" s="10"/>
      <c r="R284" s="10"/>
      <c r="S284" s="10"/>
      <c r="T284" s="10"/>
      <c r="U284" s="10"/>
      <c r="V284" s="10"/>
      <c r="W284" s="10"/>
      <c r="X284" s="10"/>
      <c r="Y284" s="10"/>
      <c r="Z284" s="10"/>
    </row>
    <row r="285" spans="1:26" s="9" customFormat="1" ht="15.75">
      <c r="A285" s="29" t="s">
        <v>19</v>
      </c>
      <c r="B285" s="18">
        <v>1</v>
      </c>
      <c r="C285" s="18">
        <v>3</v>
      </c>
      <c r="D285" s="18">
        <v>2</v>
      </c>
      <c r="E285" s="18">
        <v>3</v>
      </c>
      <c r="F285" s="18">
        <v>3</v>
      </c>
      <c r="G285" s="18">
        <v>2</v>
      </c>
      <c r="H285" s="18">
        <v>1</v>
      </c>
      <c r="I285" s="18">
        <v>2</v>
      </c>
      <c r="J285" s="18">
        <v>8</v>
      </c>
      <c r="K285" s="18">
        <v>3</v>
      </c>
      <c r="L285" s="18">
        <v>0</v>
      </c>
      <c r="M285" s="18">
        <v>4</v>
      </c>
      <c r="N285" s="133">
        <f t="shared" si="93"/>
        <v>32</v>
      </c>
      <c r="O285" s="19">
        <f t="shared" si="94"/>
        <v>2.6666666666666665</v>
      </c>
      <c r="P285" s="10"/>
      <c r="Q285" s="10"/>
      <c r="R285" s="10"/>
      <c r="S285" s="10"/>
      <c r="T285" s="10"/>
      <c r="U285" s="10"/>
      <c r="V285" s="10"/>
      <c r="W285" s="10"/>
      <c r="X285" s="10"/>
      <c r="Y285" s="10"/>
      <c r="Z285" s="10"/>
    </row>
    <row r="286" spans="1:26" s="9" customFormat="1" ht="15.75">
      <c r="A286" s="29" t="s">
        <v>43</v>
      </c>
      <c r="B286" s="18">
        <v>4</v>
      </c>
      <c r="C286" s="18">
        <v>7</v>
      </c>
      <c r="D286" s="18">
        <v>10</v>
      </c>
      <c r="E286" s="18">
        <v>19</v>
      </c>
      <c r="F286" s="18">
        <v>5</v>
      </c>
      <c r="G286" s="18">
        <v>7</v>
      </c>
      <c r="H286" s="18">
        <v>10</v>
      </c>
      <c r="I286" s="18">
        <v>11</v>
      </c>
      <c r="J286" s="18">
        <v>3</v>
      </c>
      <c r="K286" s="18">
        <v>8</v>
      </c>
      <c r="L286" s="18">
        <v>13</v>
      </c>
      <c r="M286" s="18">
        <v>8</v>
      </c>
      <c r="N286" s="133">
        <f t="shared" si="93"/>
        <v>105</v>
      </c>
      <c r="O286" s="19">
        <f t="shared" si="94"/>
        <v>8.75</v>
      </c>
      <c r="P286" s="8"/>
      <c r="Q286" s="8"/>
      <c r="R286" s="8"/>
      <c r="S286" s="8"/>
      <c r="T286" s="8"/>
      <c r="U286" s="8"/>
      <c r="V286" s="8"/>
      <c r="W286" s="8"/>
      <c r="X286" s="8"/>
      <c r="Y286" s="8"/>
      <c r="Z286" s="8"/>
    </row>
    <row r="287" spans="1:26" s="9" customFormat="1" ht="15.75">
      <c r="A287" s="20" t="s">
        <v>21</v>
      </c>
      <c r="B287" s="21">
        <f t="shared" ref="B287:I287" si="95">IF(SUM(B284:B286)=0,"",SUM(B284:B286))</f>
        <v>5</v>
      </c>
      <c r="C287" s="21">
        <f t="shared" si="95"/>
        <v>10</v>
      </c>
      <c r="D287" s="21">
        <f t="shared" si="95"/>
        <v>13</v>
      </c>
      <c r="E287" s="21">
        <f t="shared" si="95"/>
        <v>22</v>
      </c>
      <c r="F287" s="21">
        <f t="shared" si="95"/>
        <v>8</v>
      </c>
      <c r="G287" s="21">
        <f t="shared" si="95"/>
        <v>11</v>
      </c>
      <c r="H287" s="21">
        <f t="shared" si="95"/>
        <v>13</v>
      </c>
      <c r="I287" s="21">
        <f t="shared" si="95"/>
        <v>13</v>
      </c>
      <c r="J287" s="21">
        <f t="shared" ref="J287:M287" si="96">IF(SUM(J284:J286)=0,"",SUM(J284:J286))</f>
        <v>11</v>
      </c>
      <c r="K287" s="21">
        <f t="shared" si="96"/>
        <v>11</v>
      </c>
      <c r="L287" s="21">
        <f t="shared" si="96"/>
        <v>14</v>
      </c>
      <c r="M287" s="21">
        <f t="shared" si="96"/>
        <v>12</v>
      </c>
      <c r="N287" s="128">
        <f>SUM(N284:N286)</f>
        <v>143</v>
      </c>
      <c r="O287" s="22">
        <f>SUM(O284:O286)</f>
        <v>11.916666666666666</v>
      </c>
      <c r="P287" s="8"/>
      <c r="Q287" s="8"/>
      <c r="R287" s="8"/>
      <c r="S287" s="8"/>
      <c r="T287" s="8"/>
      <c r="U287" s="8"/>
      <c r="V287" s="8"/>
      <c r="W287" s="8"/>
      <c r="X287" s="8"/>
      <c r="Y287" s="8"/>
      <c r="Z287" s="8"/>
    </row>
    <row r="288" spans="1:26" s="9" customFormat="1">
      <c r="A288" s="23"/>
      <c r="B288" s="24"/>
      <c r="C288" s="24"/>
      <c r="D288" s="24"/>
      <c r="E288" s="25"/>
      <c r="F288" s="25"/>
      <c r="G288" s="25"/>
      <c r="H288" s="25"/>
      <c r="I288" s="25"/>
      <c r="J288" s="25"/>
      <c r="K288" s="25"/>
      <c r="L288" s="25"/>
      <c r="M288" s="25"/>
      <c r="N288" s="134"/>
      <c r="O288" s="13"/>
      <c r="P288" s="8"/>
      <c r="Q288" s="8"/>
      <c r="R288" s="8"/>
      <c r="S288" s="8"/>
      <c r="T288" s="8"/>
      <c r="U288" s="8"/>
      <c r="V288" s="8"/>
      <c r="W288" s="8"/>
      <c r="X288" s="8"/>
      <c r="Y288" s="8"/>
      <c r="Z288" s="8"/>
    </row>
    <row r="289" spans="1:26" s="9" customFormat="1" ht="15.75">
      <c r="A289" s="165" t="s">
        <v>73</v>
      </c>
      <c r="B289" s="166"/>
      <c r="C289" s="166"/>
      <c r="D289" s="166"/>
      <c r="E289" s="166"/>
      <c r="F289" s="166"/>
      <c r="G289" s="166"/>
      <c r="H289" s="166"/>
      <c r="I289" s="166"/>
      <c r="J289" s="166"/>
      <c r="K289" s="166"/>
      <c r="L289" s="166"/>
      <c r="M289" s="166"/>
      <c r="N289" s="167"/>
      <c r="O289" s="168"/>
      <c r="P289" s="10"/>
      <c r="Q289" s="10"/>
      <c r="R289" s="10"/>
      <c r="S289" s="10"/>
      <c r="T289" s="10"/>
      <c r="U289" s="10"/>
      <c r="V289" s="10"/>
      <c r="W289" s="10"/>
      <c r="X289" s="10"/>
      <c r="Y289" s="10"/>
      <c r="Z289" s="10"/>
    </row>
    <row r="290" spans="1:26" s="9" customFormat="1" ht="15.75">
      <c r="A290" s="34" t="s">
        <v>62</v>
      </c>
      <c r="B290" s="18">
        <v>0</v>
      </c>
      <c r="C290" s="18">
        <v>0</v>
      </c>
      <c r="D290" s="18">
        <v>1</v>
      </c>
      <c r="E290" s="18">
        <v>1</v>
      </c>
      <c r="F290" s="18">
        <v>0</v>
      </c>
      <c r="G290" s="18">
        <v>0</v>
      </c>
      <c r="H290" s="18">
        <v>1</v>
      </c>
      <c r="I290" s="18">
        <v>0</v>
      </c>
      <c r="J290" s="18">
        <v>1</v>
      </c>
      <c r="K290" s="18">
        <v>0</v>
      </c>
      <c r="L290" s="18">
        <v>0</v>
      </c>
      <c r="M290" s="18">
        <v>0</v>
      </c>
      <c r="N290" s="133">
        <f>SUM(B290:M290)</f>
        <v>4</v>
      </c>
      <c r="O290" s="19">
        <f>IF(N290=0,0,AVERAGE(B290:M290))</f>
        <v>0.33333333333333331</v>
      </c>
      <c r="P290" s="8"/>
      <c r="Q290" s="8"/>
      <c r="R290" s="8"/>
      <c r="S290" s="8"/>
      <c r="T290" s="8"/>
      <c r="U290" s="8"/>
      <c r="V290" s="8"/>
      <c r="W290" s="8"/>
      <c r="X290" s="8"/>
      <c r="Y290" s="8"/>
      <c r="Z290" s="8"/>
    </row>
    <row r="291" spans="1:26" s="9" customFormat="1" ht="15.75">
      <c r="A291" s="34" t="s">
        <v>63</v>
      </c>
      <c r="B291" s="18">
        <v>0</v>
      </c>
      <c r="C291" s="18">
        <v>0</v>
      </c>
      <c r="D291" s="18">
        <v>4</v>
      </c>
      <c r="E291" s="18">
        <v>0</v>
      </c>
      <c r="F291" s="18">
        <v>1</v>
      </c>
      <c r="G291" s="18">
        <v>0</v>
      </c>
      <c r="H291" s="18">
        <v>0</v>
      </c>
      <c r="I291" s="18">
        <v>4</v>
      </c>
      <c r="J291" s="18">
        <v>1</v>
      </c>
      <c r="K291" s="18">
        <v>1</v>
      </c>
      <c r="L291" s="18">
        <v>1</v>
      </c>
      <c r="M291" s="18">
        <v>0</v>
      </c>
      <c r="N291" s="133">
        <f t="shared" ref="N291:N296" si="97">SUM(B291:M291)</f>
        <v>12</v>
      </c>
      <c r="O291" s="19">
        <f t="shared" ref="O291:O296" si="98">IF(N291=0,0,AVERAGE(B291:M291))</f>
        <v>1</v>
      </c>
      <c r="P291" s="8"/>
      <c r="Q291" s="8"/>
      <c r="R291" s="8"/>
      <c r="S291" s="8"/>
      <c r="T291" s="8"/>
      <c r="U291" s="8"/>
      <c r="V291" s="8"/>
      <c r="W291" s="8"/>
      <c r="X291" s="8"/>
      <c r="Y291" s="8"/>
      <c r="Z291" s="8"/>
    </row>
    <row r="292" spans="1:26" s="9" customFormat="1" ht="15.75">
      <c r="A292" s="34" t="s">
        <v>64</v>
      </c>
      <c r="B292" s="18">
        <v>0</v>
      </c>
      <c r="C292" s="18">
        <v>2</v>
      </c>
      <c r="D292" s="18">
        <v>1</v>
      </c>
      <c r="E292" s="18">
        <v>2</v>
      </c>
      <c r="F292" s="18">
        <v>1</v>
      </c>
      <c r="G292" s="18">
        <v>1</v>
      </c>
      <c r="H292" s="18">
        <v>0</v>
      </c>
      <c r="I292" s="18">
        <v>0</v>
      </c>
      <c r="J292" s="18">
        <v>1</v>
      </c>
      <c r="K292" s="18">
        <v>0</v>
      </c>
      <c r="L292" s="18">
        <v>2</v>
      </c>
      <c r="M292" s="18">
        <v>0</v>
      </c>
      <c r="N292" s="133">
        <f t="shared" si="97"/>
        <v>10</v>
      </c>
      <c r="O292" s="19">
        <f t="shared" si="98"/>
        <v>0.83333333333333337</v>
      </c>
      <c r="P292" s="10"/>
      <c r="Q292" s="10"/>
      <c r="R292" s="10"/>
      <c r="S292" s="10"/>
      <c r="T292" s="10"/>
      <c r="U292" s="10"/>
      <c r="V292" s="10"/>
      <c r="W292" s="10"/>
      <c r="X292" s="10"/>
      <c r="Y292" s="10"/>
      <c r="Z292" s="10"/>
    </row>
    <row r="293" spans="1:26" s="9" customFormat="1" ht="15.75">
      <c r="A293" s="34" t="s">
        <v>65</v>
      </c>
      <c r="B293" s="18">
        <v>0</v>
      </c>
      <c r="C293" s="18">
        <v>2</v>
      </c>
      <c r="D293" s="18">
        <v>0</v>
      </c>
      <c r="E293" s="18">
        <v>6</v>
      </c>
      <c r="F293" s="18">
        <v>1</v>
      </c>
      <c r="G293" s="18">
        <v>1</v>
      </c>
      <c r="H293" s="18">
        <v>1</v>
      </c>
      <c r="I293" s="18">
        <v>0</v>
      </c>
      <c r="J293" s="18">
        <v>2</v>
      </c>
      <c r="K293" s="18">
        <v>1</v>
      </c>
      <c r="L293" s="18">
        <v>3</v>
      </c>
      <c r="M293" s="18">
        <v>5</v>
      </c>
      <c r="N293" s="133">
        <f t="shared" si="97"/>
        <v>22</v>
      </c>
      <c r="O293" s="19">
        <f t="shared" si="98"/>
        <v>1.8333333333333333</v>
      </c>
      <c r="P293" s="8"/>
      <c r="Q293" s="8"/>
      <c r="R293" s="8"/>
      <c r="S293" s="8"/>
      <c r="T293" s="8"/>
      <c r="U293" s="8"/>
      <c r="V293" s="8"/>
      <c r="W293" s="8"/>
      <c r="X293" s="8"/>
      <c r="Y293" s="8"/>
      <c r="Z293" s="8"/>
    </row>
    <row r="294" spans="1:26" s="9" customFormat="1" ht="15.75">
      <c r="A294" s="34" t="s">
        <v>66</v>
      </c>
      <c r="B294" s="18">
        <v>1</v>
      </c>
      <c r="C294" s="18">
        <v>3</v>
      </c>
      <c r="D294" s="18">
        <v>6</v>
      </c>
      <c r="E294" s="18">
        <v>8</v>
      </c>
      <c r="F294" s="18">
        <v>0</v>
      </c>
      <c r="G294" s="18">
        <v>4</v>
      </c>
      <c r="H294" s="18">
        <v>4</v>
      </c>
      <c r="I294" s="18">
        <v>1</v>
      </c>
      <c r="J294" s="18">
        <v>1</v>
      </c>
      <c r="K294" s="18">
        <v>5</v>
      </c>
      <c r="L294" s="18">
        <v>3</v>
      </c>
      <c r="M294" s="18">
        <v>3</v>
      </c>
      <c r="N294" s="133">
        <f t="shared" si="97"/>
        <v>39</v>
      </c>
      <c r="O294" s="19">
        <f t="shared" si="98"/>
        <v>3.25</v>
      </c>
      <c r="P294" s="8"/>
      <c r="Q294" s="8"/>
      <c r="R294" s="8"/>
      <c r="S294" s="8"/>
      <c r="T294" s="8"/>
      <c r="U294" s="8"/>
      <c r="V294" s="8"/>
      <c r="W294" s="8"/>
      <c r="X294" s="8"/>
      <c r="Y294" s="8"/>
      <c r="Z294" s="8"/>
    </row>
    <row r="295" spans="1:26" s="9" customFormat="1" ht="15.75">
      <c r="A295" s="34" t="s">
        <v>67</v>
      </c>
      <c r="B295" s="18">
        <v>2</v>
      </c>
      <c r="C295" s="18">
        <v>3</v>
      </c>
      <c r="D295" s="18">
        <v>1</v>
      </c>
      <c r="E295" s="18">
        <v>3</v>
      </c>
      <c r="F295" s="18">
        <v>0</v>
      </c>
      <c r="G295" s="18">
        <v>4</v>
      </c>
      <c r="H295" s="18">
        <v>3</v>
      </c>
      <c r="I295" s="18">
        <v>3</v>
      </c>
      <c r="J295" s="18">
        <v>0</v>
      </c>
      <c r="K295" s="18">
        <v>2</v>
      </c>
      <c r="L295" s="18">
        <v>3</v>
      </c>
      <c r="M295" s="18">
        <v>4</v>
      </c>
      <c r="N295" s="133">
        <f t="shared" si="97"/>
        <v>28</v>
      </c>
      <c r="O295" s="19">
        <f t="shared" si="98"/>
        <v>2.3333333333333335</v>
      </c>
      <c r="P295" s="8"/>
      <c r="Q295" s="8"/>
      <c r="R295" s="8"/>
      <c r="S295" s="8"/>
      <c r="T295" s="8"/>
      <c r="U295" s="8"/>
      <c r="V295" s="8"/>
      <c r="W295" s="8"/>
      <c r="X295" s="8"/>
      <c r="Y295" s="8"/>
      <c r="Z295" s="8"/>
    </row>
    <row r="296" spans="1:26" s="9" customFormat="1" ht="15.75">
      <c r="A296" s="34" t="s">
        <v>68</v>
      </c>
      <c r="B296" s="18">
        <v>2</v>
      </c>
      <c r="C296" s="18">
        <v>1</v>
      </c>
      <c r="D296" s="18">
        <v>1</v>
      </c>
      <c r="E296" s="18">
        <v>2</v>
      </c>
      <c r="F296" s="18">
        <v>5</v>
      </c>
      <c r="G296" s="18">
        <v>1</v>
      </c>
      <c r="H296" s="18">
        <v>5</v>
      </c>
      <c r="I296" s="18">
        <v>5</v>
      </c>
      <c r="J296" s="18">
        <v>5</v>
      </c>
      <c r="K296" s="18">
        <v>3</v>
      </c>
      <c r="L296" s="18">
        <v>2</v>
      </c>
      <c r="M296" s="18">
        <v>2</v>
      </c>
      <c r="N296" s="133">
        <f t="shared" si="97"/>
        <v>34</v>
      </c>
      <c r="O296" s="19">
        <f t="shared" si="98"/>
        <v>2.8333333333333335</v>
      </c>
      <c r="P296" s="8"/>
      <c r="Q296" s="8"/>
      <c r="R296" s="8"/>
      <c r="S296" s="8"/>
      <c r="T296" s="8"/>
      <c r="U296" s="8"/>
      <c r="V296" s="8"/>
      <c r="W296" s="8"/>
      <c r="X296" s="8"/>
      <c r="Y296" s="8"/>
      <c r="Z296" s="8"/>
    </row>
    <row r="297" spans="1:26" s="9" customFormat="1" ht="15.75">
      <c r="A297" s="20" t="s">
        <v>21</v>
      </c>
      <c r="B297" s="21">
        <f t="shared" ref="B297:M297" si="99">IF(SUM(B290:B296)=0,"",SUM(B290:B296))</f>
        <v>5</v>
      </c>
      <c r="C297" s="21">
        <f t="shared" si="99"/>
        <v>11</v>
      </c>
      <c r="D297" s="21">
        <f t="shared" si="99"/>
        <v>14</v>
      </c>
      <c r="E297" s="21">
        <f t="shared" si="99"/>
        <v>22</v>
      </c>
      <c r="F297" s="21">
        <f t="shared" si="99"/>
        <v>8</v>
      </c>
      <c r="G297" s="21">
        <f t="shared" si="99"/>
        <v>11</v>
      </c>
      <c r="H297" s="21">
        <f t="shared" si="99"/>
        <v>14</v>
      </c>
      <c r="I297" s="21">
        <f t="shared" si="99"/>
        <v>13</v>
      </c>
      <c r="J297" s="21">
        <f t="shared" si="99"/>
        <v>11</v>
      </c>
      <c r="K297" s="21">
        <f t="shared" si="99"/>
        <v>12</v>
      </c>
      <c r="L297" s="21">
        <f t="shared" si="99"/>
        <v>14</v>
      </c>
      <c r="M297" s="21">
        <f t="shared" si="99"/>
        <v>14</v>
      </c>
      <c r="N297" s="128">
        <f>SUM(N290:N296)</f>
        <v>149</v>
      </c>
      <c r="O297" s="22">
        <f>SUM(O290:O296)</f>
        <v>12.416666666666668</v>
      </c>
      <c r="P297" s="8"/>
      <c r="Q297" s="8"/>
      <c r="R297" s="8"/>
      <c r="S297" s="8"/>
      <c r="T297" s="8"/>
      <c r="U297" s="8"/>
      <c r="V297" s="8"/>
      <c r="W297" s="8"/>
      <c r="X297" s="8"/>
      <c r="Y297" s="8"/>
      <c r="Z297" s="8"/>
    </row>
    <row r="298" spans="1:26" s="9" customFormat="1" ht="15.75">
      <c r="A298" s="23"/>
      <c r="B298" s="24"/>
      <c r="C298" s="24"/>
      <c r="D298" s="24"/>
      <c r="E298" s="25"/>
      <c r="F298" s="25"/>
      <c r="G298" s="25"/>
      <c r="H298" s="25"/>
      <c r="I298" s="25"/>
      <c r="J298" s="25"/>
      <c r="K298" s="25"/>
      <c r="L298" s="25"/>
      <c r="M298" s="25"/>
      <c r="N298" s="134"/>
      <c r="O298" s="26"/>
      <c r="P298" s="10"/>
      <c r="Q298" s="10"/>
      <c r="R298" s="10"/>
      <c r="S298" s="10"/>
      <c r="T298" s="10"/>
      <c r="U298" s="10"/>
      <c r="V298" s="10"/>
      <c r="W298" s="10"/>
      <c r="X298" s="10"/>
      <c r="Y298" s="10"/>
      <c r="Z298" s="10"/>
    </row>
    <row r="299" spans="1:26" s="9" customFormat="1" ht="15.75">
      <c r="A299" s="165" t="s">
        <v>568</v>
      </c>
      <c r="B299" s="166"/>
      <c r="C299" s="166"/>
      <c r="D299" s="166"/>
      <c r="E299" s="166"/>
      <c r="F299" s="166"/>
      <c r="G299" s="166"/>
      <c r="H299" s="166"/>
      <c r="I299" s="166"/>
      <c r="J299" s="166"/>
      <c r="K299" s="166"/>
      <c r="L299" s="166"/>
      <c r="M299" s="166"/>
      <c r="N299" s="167"/>
      <c r="O299" s="168"/>
      <c r="P299" s="8"/>
      <c r="Q299" s="8"/>
      <c r="R299" s="8"/>
      <c r="S299" s="8"/>
      <c r="T299" s="8"/>
      <c r="U299" s="8"/>
      <c r="V299" s="8"/>
      <c r="W299" s="8"/>
      <c r="X299" s="8"/>
      <c r="Y299" s="8"/>
      <c r="Z299" s="8"/>
    </row>
    <row r="300" spans="1:26" s="9" customFormat="1" ht="15.75">
      <c r="A300" s="37" t="s">
        <v>18</v>
      </c>
      <c r="B300" s="290">
        <v>11</v>
      </c>
      <c r="C300" s="290">
        <v>8</v>
      </c>
      <c r="D300" s="290">
        <v>48</v>
      </c>
      <c r="E300" s="18">
        <v>0</v>
      </c>
      <c r="F300" s="18">
        <v>13</v>
      </c>
      <c r="G300" s="18">
        <v>10</v>
      </c>
      <c r="H300" s="18">
        <v>13</v>
      </c>
      <c r="I300" s="18">
        <v>20</v>
      </c>
      <c r="J300" s="18">
        <v>13</v>
      </c>
      <c r="K300" s="18">
        <v>10</v>
      </c>
      <c r="L300" s="18">
        <v>15</v>
      </c>
      <c r="M300" s="18">
        <v>10</v>
      </c>
      <c r="N300" s="133">
        <f>SUM(B300:M300)</f>
        <v>171</v>
      </c>
      <c r="O300" s="19">
        <f>IF(N300=0,0,AVERAGE(B300:M300))</f>
        <v>14.25</v>
      </c>
      <c r="P300" s="8"/>
      <c r="Q300" s="8"/>
      <c r="R300" s="8"/>
      <c r="S300" s="8"/>
      <c r="T300" s="8"/>
      <c r="U300" s="8"/>
      <c r="V300" s="8"/>
      <c r="W300" s="8"/>
      <c r="X300" s="8"/>
      <c r="Y300" s="8"/>
      <c r="Z300" s="8"/>
    </row>
    <row r="301" spans="1:26" s="9" customFormat="1" ht="15.75">
      <c r="A301" s="37" t="s">
        <v>19</v>
      </c>
      <c r="B301" s="290">
        <v>1</v>
      </c>
      <c r="C301" s="290">
        <v>7</v>
      </c>
      <c r="D301" s="290">
        <v>7</v>
      </c>
      <c r="E301" s="18">
        <v>36</v>
      </c>
      <c r="F301" s="18">
        <v>7</v>
      </c>
      <c r="G301" s="18">
        <v>5</v>
      </c>
      <c r="H301" s="18">
        <v>4</v>
      </c>
      <c r="I301" s="18">
        <v>2</v>
      </c>
      <c r="J301" s="18">
        <v>9</v>
      </c>
      <c r="K301" s="18">
        <v>6</v>
      </c>
      <c r="L301" s="18">
        <v>8</v>
      </c>
      <c r="M301" s="18">
        <v>14</v>
      </c>
      <c r="N301" s="133">
        <f>SUM(B301:M301)</f>
        <v>106</v>
      </c>
      <c r="O301" s="19">
        <f>IF(N301=0,0,AVERAGE(B301:M301))</f>
        <v>8.8333333333333339</v>
      </c>
      <c r="P301" s="8"/>
      <c r="Q301" s="8"/>
      <c r="R301" s="8"/>
      <c r="S301" s="8"/>
      <c r="T301" s="8"/>
      <c r="U301" s="8"/>
      <c r="V301" s="8"/>
      <c r="W301" s="8"/>
      <c r="X301" s="8"/>
      <c r="Y301" s="8"/>
      <c r="Z301" s="8"/>
    </row>
    <row r="302" spans="1:26" s="9" customFormat="1" ht="15.75">
      <c r="A302" s="37" t="s">
        <v>20</v>
      </c>
      <c r="B302" s="290">
        <v>14</v>
      </c>
      <c r="C302" s="290">
        <v>15</v>
      </c>
      <c r="D302" s="290">
        <v>1</v>
      </c>
      <c r="E302" s="18">
        <v>4</v>
      </c>
      <c r="F302" s="18">
        <v>16</v>
      </c>
      <c r="G302" s="18">
        <v>13</v>
      </c>
      <c r="H302" s="18">
        <v>21</v>
      </c>
      <c r="I302" s="18">
        <v>20</v>
      </c>
      <c r="J302" s="18">
        <v>21</v>
      </c>
      <c r="K302" s="18">
        <v>7</v>
      </c>
      <c r="L302" s="18">
        <v>16</v>
      </c>
      <c r="M302" s="18">
        <v>20</v>
      </c>
      <c r="N302" s="133">
        <f>SUM(B302:M302)</f>
        <v>168</v>
      </c>
      <c r="O302" s="19">
        <f>IF(N302=0,0,AVERAGE(B302:M302))</f>
        <v>14</v>
      </c>
      <c r="P302" s="8"/>
      <c r="Q302" s="8"/>
      <c r="R302" s="8"/>
      <c r="S302" s="8"/>
      <c r="T302" s="8"/>
      <c r="U302" s="8"/>
      <c r="V302" s="8"/>
      <c r="W302" s="8"/>
      <c r="X302" s="8"/>
      <c r="Y302" s="8"/>
      <c r="Z302" s="8"/>
    </row>
    <row r="303" spans="1:26" s="9" customFormat="1" ht="15.75">
      <c r="A303" s="20" t="s">
        <v>21</v>
      </c>
      <c r="B303" s="21">
        <f t="shared" ref="B303:M303" si="100">IF(SUM(B300:B302)=0,"",SUM(B300:B302))</f>
        <v>26</v>
      </c>
      <c r="C303" s="21">
        <f t="shared" si="100"/>
        <v>30</v>
      </c>
      <c r="D303" s="21">
        <f t="shared" si="100"/>
        <v>56</v>
      </c>
      <c r="E303" s="21">
        <f t="shared" si="100"/>
        <v>40</v>
      </c>
      <c r="F303" s="21">
        <f t="shared" si="100"/>
        <v>36</v>
      </c>
      <c r="G303" s="21">
        <f t="shared" si="100"/>
        <v>28</v>
      </c>
      <c r="H303" s="21">
        <f t="shared" si="100"/>
        <v>38</v>
      </c>
      <c r="I303" s="21">
        <f t="shared" si="100"/>
        <v>42</v>
      </c>
      <c r="J303" s="21">
        <f t="shared" si="100"/>
        <v>43</v>
      </c>
      <c r="K303" s="21">
        <f t="shared" si="100"/>
        <v>23</v>
      </c>
      <c r="L303" s="21">
        <f t="shared" si="100"/>
        <v>39</v>
      </c>
      <c r="M303" s="21">
        <f t="shared" si="100"/>
        <v>44</v>
      </c>
      <c r="N303" s="128">
        <f>SUM(N300:N302)</f>
        <v>445</v>
      </c>
      <c r="O303" s="22">
        <f>SUM(O300:O302)</f>
        <v>37.083333333333336</v>
      </c>
      <c r="P303" s="10"/>
      <c r="Q303" s="10"/>
      <c r="R303" s="10"/>
      <c r="S303" s="10"/>
      <c r="T303" s="10"/>
      <c r="U303" s="10"/>
      <c r="V303" s="10"/>
      <c r="W303" s="10"/>
      <c r="X303" s="10"/>
      <c r="Y303" s="10"/>
      <c r="Z303" s="10"/>
    </row>
    <row r="304" spans="1:26" s="9" customFormat="1">
      <c r="A304" s="30"/>
      <c r="B304" s="31"/>
      <c r="C304" s="31"/>
      <c r="D304" s="31"/>
      <c r="E304" s="32"/>
      <c r="F304" s="32"/>
      <c r="G304" s="32"/>
      <c r="H304" s="32"/>
      <c r="I304" s="32"/>
      <c r="J304" s="32"/>
      <c r="K304" s="32"/>
      <c r="L304" s="32"/>
      <c r="M304" s="32"/>
      <c r="N304" s="136"/>
      <c r="O304" s="13"/>
      <c r="P304" s="8"/>
      <c r="Q304" s="8"/>
      <c r="R304" s="8"/>
      <c r="S304" s="8"/>
      <c r="T304" s="8"/>
      <c r="U304" s="8"/>
      <c r="V304" s="8"/>
      <c r="W304" s="8"/>
      <c r="X304" s="8"/>
      <c r="Y304" s="8"/>
      <c r="Z304" s="8"/>
    </row>
    <row r="305" spans="1:26" s="9" customFormat="1" ht="15.75">
      <c r="A305" s="165" t="s">
        <v>569</v>
      </c>
      <c r="B305" s="166"/>
      <c r="C305" s="166"/>
      <c r="D305" s="166"/>
      <c r="E305" s="166"/>
      <c r="F305" s="166"/>
      <c r="G305" s="166"/>
      <c r="H305" s="166"/>
      <c r="I305" s="166"/>
      <c r="J305" s="166"/>
      <c r="K305" s="166"/>
      <c r="L305" s="166"/>
      <c r="M305" s="166"/>
      <c r="N305" s="167"/>
      <c r="O305" s="168"/>
      <c r="P305" s="10"/>
      <c r="Q305" s="10"/>
      <c r="R305" s="10"/>
      <c r="S305" s="10"/>
      <c r="T305" s="10"/>
      <c r="U305" s="10"/>
      <c r="V305" s="10"/>
      <c r="W305" s="10"/>
      <c r="X305" s="10"/>
      <c r="Y305" s="10"/>
      <c r="Z305" s="10"/>
    </row>
    <row r="306" spans="1:26" s="9" customFormat="1" ht="15.75">
      <c r="A306" s="41" t="s">
        <v>18</v>
      </c>
      <c r="B306" s="290">
        <v>1</v>
      </c>
      <c r="C306" s="290">
        <v>0</v>
      </c>
      <c r="D306" s="290">
        <v>2</v>
      </c>
      <c r="E306" s="290">
        <v>0</v>
      </c>
      <c r="F306" s="18">
        <v>1</v>
      </c>
      <c r="G306" s="35">
        <v>0</v>
      </c>
      <c r="H306" s="35">
        <v>0</v>
      </c>
      <c r="I306" s="35">
        <v>1</v>
      </c>
      <c r="J306" s="35">
        <v>1</v>
      </c>
      <c r="K306" s="35">
        <v>1</v>
      </c>
      <c r="L306" s="35">
        <v>3</v>
      </c>
      <c r="M306" s="35">
        <v>2</v>
      </c>
      <c r="N306" s="138">
        <f>SUM(B306:M306)</f>
        <v>12</v>
      </c>
      <c r="O306" s="42">
        <f>IF(N306=0,0,AVERAGE(B306:M306))</f>
        <v>1</v>
      </c>
      <c r="P306" s="8"/>
      <c r="Q306" s="8"/>
      <c r="R306" s="8"/>
      <c r="S306" s="8"/>
      <c r="T306" s="8"/>
      <c r="U306" s="8"/>
      <c r="V306" s="8"/>
      <c r="W306" s="8"/>
      <c r="X306" s="8"/>
      <c r="Y306" s="8"/>
      <c r="Z306" s="8"/>
    </row>
    <row r="307" spans="1:26" s="9" customFormat="1" ht="15.75">
      <c r="A307" s="41" t="s">
        <v>19</v>
      </c>
      <c r="B307" s="290">
        <v>1</v>
      </c>
      <c r="C307" s="290">
        <v>3</v>
      </c>
      <c r="D307" s="290">
        <v>3</v>
      </c>
      <c r="E307" s="290">
        <v>2</v>
      </c>
      <c r="F307" s="18">
        <v>0</v>
      </c>
      <c r="G307" s="35">
        <v>0</v>
      </c>
      <c r="H307" s="35">
        <v>2</v>
      </c>
      <c r="I307" s="35">
        <v>1</v>
      </c>
      <c r="J307" s="35">
        <v>0</v>
      </c>
      <c r="K307" s="35">
        <v>0</v>
      </c>
      <c r="L307" s="35">
        <v>1</v>
      </c>
      <c r="M307" s="35">
        <v>3</v>
      </c>
      <c r="N307" s="138">
        <f>SUM(B307:M307)</f>
        <v>16</v>
      </c>
      <c r="O307" s="42">
        <f>IF(N307=0,0,AVERAGE(B307:M307))</f>
        <v>1.3333333333333333</v>
      </c>
      <c r="P307" s="8"/>
      <c r="Q307" s="8"/>
      <c r="R307" s="8"/>
      <c r="S307" s="8"/>
      <c r="T307" s="8"/>
      <c r="U307" s="8"/>
      <c r="V307" s="8"/>
      <c r="W307" s="8"/>
      <c r="X307" s="8"/>
      <c r="Y307" s="8"/>
      <c r="Z307" s="8"/>
    </row>
    <row r="308" spans="1:26" s="9" customFormat="1" ht="15.75">
      <c r="A308" s="41" t="s">
        <v>20</v>
      </c>
      <c r="B308" s="290">
        <v>0</v>
      </c>
      <c r="C308" s="290">
        <v>0</v>
      </c>
      <c r="D308" s="290">
        <v>0</v>
      </c>
      <c r="E308" s="290">
        <v>0</v>
      </c>
      <c r="F308" s="18">
        <v>0</v>
      </c>
      <c r="G308" s="35">
        <v>0</v>
      </c>
      <c r="H308" s="35">
        <v>0</v>
      </c>
      <c r="I308" s="35">
        <v>1</v>
      </c>
      <c r="J308" s="35">
        <v>0</v>
      </c>
      <c r="K308" s="35">
        <v>0</v>
      </c>
      <c r="L308" s="35">
        <v>1</v>
      </c>
      <c r="M308" s="35">
        <v>2</v>
      </c>
      <c r="N308" s="138">
        <f>SUM(B308:M308)</f>
        <v>4</v>
      </c>
      <c r="O308" s="42">
        <f>IF(N308=0,0,AVERAGE(B308:M308))</f>
        <v>0.33333333333333331</v>
      </c>
      <c r="P308" s="8"/>
      <c r="Q308" s="8"/>
      <c r="R308" s="8"/>
      <c r="S308" s="8"/>
      <c r="T308" s="8"/>
      <c r="U308" s="8"/>
      <c r="V308" s="8"/>
      <c r="W308" s="8"/>
      <c r="X308" s="8"/>
      <c r="Y308" s="8"/>
      <c r="Z308" s="8"/>
    </row>
    <row r="309" spans="1:26" s="9" customFormat="1" ht="15.75">
      <c r="A309" s="43" t="s">
        <v>21</v>
      </c>
      <c r="B309" s="21">
        <f>IF(SUM(B306:B308)=0,"",SUM(B306:B308))</f>
        <v>2</v>
      </c>
      <c r="C309" s="21">
        <f>IF(SUM(C306:C308)=0,"",SUM(C306:C308))</f>
        <v>3</v>
      </c>
      <c r="D309" s="21">
        <f>IF(SUM(D306:D308)=0,"",SUM(D306:D308))</f>
        <v>5</v>
      </c>
      <c r="E309" s="21">
        <f>IF(SUM(E306:E308)=0,"",SUM(E306:E308))</f>
        <v>2</v>
      </c>
      <c r="F309" s="21">
        <f>IF(SUM(F306:F308)=0,"",SUM(F306:F308))</f>
        <v>1</v>
      </c>
      <c r="G309" s="21">
        <v>0</v>
      </c>
      <c r="H309" s="21">
        <f t="shared" ref="H309:M309" si="101">IF(SUM(H306:H308)=0,"",SUM(H306:H308))</f>
        <v>2</v>
      </c>
      <c r="I309" s="21">
        <f t="shared" si="101"/>
        <v>3</v>
      </c>
      <c r="J309" s="21">
        <f t="shared" si="101"/>
        <v>1</v>
      </c>
      <c r="K309" s="21">
        <f t="shared" si="101"/>
        <v>1</v>
      </c>
      <c r="L309" s="21">
        <f t="shared" si="101"/>
        <v>5</v>
      </c>
      <c r="M309" s="21">
        <f t="shared" si="101"/>
        <v>7</v>
      </c>
      <c r="N309" s="139">
        <f>SUM(N306:N308)</f>
        <v>32</v>
      </c>
      <c r="O309" s="45">
        <f>SUM(O306:O308)</f>
        <v>2.6666666666666665</v>
      </c>
      <c r="P309" s="8"/>
      <c r="Q309" s="8"/>
      <c r="R309" s="8"/>
      <c r="S309" s="8"/>
      <c r="T309" s="8"/>
      <c r="U309" s="8"/>
      <c r="V309" s="8"/>
      <c r="W309" s="8"/>
      <c r="X309" s="8"/>
      <c r="Y309" s="8"/>
      <c r="Z309" s="8"/>
    </row>
    <row r="310" spans="1:26" s="9" customFormat="1">
      <c r="A310" s="46"/>
      <c r="B310" s="47"/>
      <c r="C310" s="47"/>
      <c r="D310" s="47"/>
      <c r="E310" s="48"/>
      <c r="F310" s="48"/>
      <c r="G310" s="48"/>
      <c r="H310" s="48"/>
      <c r="I310" s="48"/>
      <c r="J310" s="48"/>
      <c r="K310" s="48"/>
      <c r="L310" s="48"/>
      <c r="M310" s="48"/>
      <c r="N310" s="140"/>
      <c r="O310" s="13"/>
      <c r="P310" s="8"/>
      <c r="Q310" s="8"/>
      <c r="R310" s="8"/>
      <c r="S310" s="8"/>
      <c r="T310" s="8"/>
      <c r="U310" s="8"/>
      <c r="V310" s="8"/>
      <c r="W310" s="8"/>
      <c r="X310" s="8"/>
      <c r="Y310" s="8"/>
      <c r="Z310" s="8"/>
    </row>
    <row r="311" spans="1:26" s="9" customFormat="1" ht="15.75">
      <c r="A311" s="165" t="s">
        <v>74</v>
      </c>
      <c r="B311" s="166"/>
      <c r="C311" s="166"/>
      <c r="D311" s="166"/>
      <c r="E311" s="166"/>
      <c r="F311" s="166"/>
      <c r="G311" s="166"/>
      <c r="H311" s="166"/>
      <c r="I311" s="166"/>
      <c r="J311" s="166"/>
      <c r="K311" s="166"/>
      <c r="L311" s="166"/>
      <c r="M311" s="166"/>
      <c r="N311" s="167"/>
      <c r="O311" s="168"/>
      <c r="P311" s="8"/>
      <c r="Q311" s="8"/>
      <c r="R311" s="8"/>
      <c r="S311" s="8"/>
      <c r="T311" s="8"/>
      <c r="U311" s="8"/>
      <c r="V311" s="8"/>
      <c r="W311" s="8"/>
      <c r="X311" s="8"/>
      <c r="Y311" s="8"/>
      <c r="Z311" s="8"/>
    </row>
    <row r="312" spans="1:26" s="9" customFormat="1" ht="15.75">
      <c r="A312" s="29" t="s">
        <v>29</v>
      </c>
      <c r="B312" s="424">
        <v>1</v>
      </c>
      <c r="C312" s="424">
        <v>0</v>
      </c>
      <c r="D312" s="424">
        <v>1</v>
      </c>
      <c r="E312" s="509">
        <v>0</v>
      </c>
      <c r="F312" s="315">
        <v>1</v>
      </c>
      <c r="G312" s="424">
        <v>0</v>
      </c>
      <c r="H312" s="424">
        <v>0</v>
      </c>
      <c r="I312" s="424">
        <v>0</v>
      </c>
      <c r="J312" s="424">
        <v>0</v>
      </c>
      <c r="K312" s="424">
        <v>0</v>
      </c>
      <c r="L312" s="424">
        <v>0</v>
      </c>
      <c r="M312" s="424">
        <v>7</v>
      </c>
      <c r="N312" s="160">
        <f>SUM(B312:M312)</f>
        <v>10</v>
      </c>
      <c r="O312" s="19">
        <f t="shared" ref="O312:O329" si="102">IF(N312=0,0,AVERAGE(B312:M312))</f>
        <v>0.83333333333333337</v>
      </c>
      <c r="P312" s="8"/>
      <c r="Q312" s="8"/>
      <c r="R312" s="8"/>
      <c r="S312" s="8"/>
      <c r="T312" s="8"/>
      <c r="U312" s="8"/>
      <c r="V312" s="8"/>
      <c r="W312" s="8"/>
      <c r="X312" s="8"/>
      <c r="Y312" s="8"/>
      <c r="Z312" s="8"/>
    </row>
    <row r="313" spans="1:26" s="9" customFormat="1" ht="15.75">
      <c r="A313" s="29" t="s">
        <v>26</v>
      </c>
      <c r="B313" s="424">
        <v>21</v>
      </c>
      <c r="C313" s="424">
        <v>20</v>
      </c>
      <c r="D313" s="424">
        <v>12</v>
      </c>
      <c r="E313" s="509">
        <v>1</v>
      </c>
      <c r="F313" s="315">
        <v>27</v>
      </c>
      <c r="G313" s="424">
        <v>24</v>
      </c>
      <c r="H313" s="424">
        <v>39</v>
      </c>
      <c r="I313" s="424">
        <v>28</v>
      </c>
      <c r="J313" s="424">
        <v>20</v>
      </c>
      <c r="K313" s="424">
        <v>30</v>
      </c>
      <c r="L313" s="424">
        <v>26</v>
      </c>
      <c r="M313" s="424">
        <v>29</v>
      </c>
      <c r="N313" s="160">
        <f t="shared" ref="N313:N329" si="103">SUM(B313:M313)</f>
        <v>277</v>
      </c>
      <c r="O313" s="19">
        <f t="shared" si="102"/>
        <v>23.083333333333332</v>
      </c>
      <c r="P313" s="8"/>
      <c r="Q313" s="8"/>
      <c r="R313" s="8"/>
      <c r="S313" s="8"/>
      <c r="T313" s="8"/>
      <c r="U313" s="8"/>
      <c r="V313" s="8"/>
      <c r="W313" s="8"/>
      <c r="X313" s="8"/>
      <c r="Y313" s="8"/>
      <c r="Z313" s="8"/>
    </row>
    <row r="314" spans="1:26" s="9" customFormat="1" ht="15.75">
      <c r="A314" s="29" t="s">
        <v>305</v>
      </c>
      <c r="B314" s="424">
        <v>0</v>
      </c>
      <c r="C314" s="424">
        <v>1</v>
      </c>
      <c r="D314" s="424">
        <v>0</v>
      </c>
      <c r="E314" s="509">
        <v>0</v>
      </c>
      <c r="F314" s="315">
        <v>3</v>
      </c>
      <c r="G314" s="424">
        <v>10</v>
      </c>
      <c r="H314" s="424">
        <v>21</v>
      </c>
      <c r="I314" s="424">
        <v>17</v>
      </c>
      <c r="J314" s="424">
        <v>39</v>
      </c>
      <c r="K314" s="424">
        <v>54</v>
      </c>
      <c r="L314" s="424">
        <v>30</v>
      </c>
      <c r="M314" s="424">
        <v>34</v>
      </c>
      <c r="N314" s="160">
        <f t="shared" si="103"/>
        <v>209</v>
      </c>
      <c r="O314" s="19">
        <f t="shared" si="102"/>
        <v>17.416666666666668</v>
      </c>
      <c r="P314" s="8"/>
      <c r="Q314" s="8"/>
      <c r="R314" s="8"/>
      <c r="S314" s="8"/>
      <c r="T314" s="8"/>
      <c r="U314" s="8"/>
      <c r="V314" s="8"/>
      <c r="W314" s="8"/>
      <c r="X314" s="8"/>
      <c r="Y314" s="8"/>
      <c r="Z314" s="8"/>
    </row>
    <row r="315" spans="1:26" s="9" customFormat="1" ht="15.75">
      <c r="A315" s="29" t="s">
        <v>25</v>
      </c>
      <c r="B315" s="348">
        <v>114</v>
      </c>
      <c r="C315" s="348">
        <v>120</v>
      </c>
      <c r="D315" s="348">
        <v>55</v>
      </c>
      <c r="E315" s="420">
        <v>26</v>
      </c>
      <c r="F315" s="316">
        <v>114</v>
      </c>
      <c r="G315" s="348">
        <v>93</v>
      </c>
      <c r="H315" s="348">
        <v>77</v>
      </c>
      <c r="I315" s="348">
        <v>71</v>
      </c>
      <c r="J315" s="348">
        <v>71</v>
      </c>
      <c r="K315" s="348">
        <v>68</v>
      </c>
      <c r="L315" s="348">
        <v>65</v>
      </c>
      <c r="M315" s="348">
        <v>80</v>
      </c>
      <c r="N315" s="160">
        <f t="shared" si="103"/>
        <v>954</v>
      </c>
      <c r="O315" s="19">
        <f t="shared" si="102"/>
        <v>79.5</v>
      </c>
      <c r="P315" s="8"/>
      <c r="Q315" s="8"/>
      <c r="R315" s="8"/>
      <c r="S315" s="8"/>
      <c r="T315" s="8"/>
      <c r="U315" s="8"/>
      <c r="V315" s="8"/>
      <c r="W315" s="8"/>
      <c r="X315" s="8"/>
      <c r="Y315" s="8"/>
      <c r="Z315" s="8"/>
    </row>
    <row r="316" spans="1:26" s="9" customFormat="1" ht="15.75">
      <c r="A316" s="29" t="s">
        <v>27</v>
      </c>
      <c r="B316" s="424">
        <v>0</v>
      </c>
      <c r="C316" s="424">
        <v>0</v>
      </c>
      <c r="D316" s="424">
        <v>0</v>
      </c>
      <c r="E316" s="509">
        <v>0</v>
      </c>
      <c r="F316" s="315">
        <v>3</v>
      </c>
      <c r="G316" s="424">
        <v>10</v>
      </c>
      <c r="H316" s="424">
        <v>12</v>
      </c>
      <c r="I316" s="424">
        <v>7</v>
      </c>
      <c r="J316" s="424">
        <v>6</v>
      </c>
      <c r="K316" s="424">
        <v>7</v>
      </c>
      <c r="L316" s="424">
        <v>7</v>
      </c>
      <c r="M316" s="424">
        <v>7</v>
      </c>
      <c r="N316" s="160">
        <f t="shared" si="103"/>
        <v>59</v>
      </c>
      <c r="O316" s="19">
        <f t="shared" si="102"/>
        <v>4.916666666666667</v>
      </c>
      <c r="P316" s="8"/>
      <c r="Q316" s="8"/>
      <c r="R316" s="8"/>
      <c r="S316" s="8"/>
      <c r="T316" s="8"/>
      <c r="U316" s="8"/>
      <c r="V316" s="8"/>
      <c r="W316" s="8"/>
      <c r="X316" s="8"/>
      <c r="Y316" s="8"/>
      <c r="Z316" s="8"/>
    </row>
    <row r="317" spans="1:26" s="9" customFormat="1" ht="15.75">
      <c r="A317" s="29" t="s">
        <v>101</v>
      </c>
      <c r="B317" s="424">
        <v>0</v>
      </c>
      <c r="C317" s="424">
        <v>0</v>
      </c>
      <c r="D317" s="424">
        <v>0</v>
      </c>
      <c r="E317" s="509">
        <v>0</v>
      </c>
      <c r="F317" s="315">
        <v>1</v>
      </c>
      <c r="G317" s="424">
        <v>0</v>
      </c>
      <c r="H317" s="424">
        <v>0</v>
      </c>
      <c r="I317" s="424">
        <v>0</v>
      </c>
      <c r="J317" s="424">
        <v>0</v>
      </c>
      <c r="K317" s="424">
        <v>0</v>
      </c>
      <c r="L317" s="424">
        <v>0</v>
      </c>
      <c r="M317" s="424">
        <v>0</v>
      </c>
      <c r="N317" s="160">
        <f t="shared" si="103"/>
        <v>1</v>
      </c>
      <c r="O317" s="19">
        <f t="shared" si="102"/>
        <v>8.3333333333333329E-2</v>
      </c>
      <c r="P317" s="8"/>
      <c r="Q317" s="8"/>
      <c r="R317" s="8"/>
      <c r="S317" s="8"/>
      <c r="T317" s="8"/>
      <c r="U317" s="8"/>
      <c r="V317" s="8"/>
      <c r="W317" s="8"/>
      <c r="X317" s="8"/>
      <c r="Y317" s="8"/>
      <c r="Z317" s="8"/>
    </row>
    <row r="318" spans="1:26" s="9" customFormat="1" ht="15.75">
      <c r="A318" s="29" t="s">
        <v>19</v>
      </c>
      <c r="B318" s="348">
        <v>11</v>
      </c>
      <c r="C318" s="348">
        <v>11</v>
      </c>
      <c r="D318" s="348">
        <v>31</v>
      </c>
      <c r="E318" s="420">
        <v>43</v>
      </c>
      <c r="F318" s="316">
        <v>22</v>
      </c>
      <c r="G318" s="348">
        <v>29</v>
      </c>
      <c r="H318" s="348">
        <v>20</v>
      </c>
      <c r="I318" s="348">
        <v>26</v>
      </c>
      <c r="J318" s="348">
        <v>30</v>
      </c>
      <c r="K318" s="348">
        <v>25</v>
      </c>
      <c r="L318" s="348">
        <v>31</v>
      </c>
      <c r="M318" s="348">
        <v>27</v>
      </c>
      <c r="N318" s="160">
        <f t="shared" si="103"/>
        <v>306</v>
      </c>
      <c r="O318" s="19">
        <f t="shared" si="102"/>
        <v>25.5</v>
      </c>
      <c r="P318" s="8"/>
      <c r="Q318" s="8"/>
      <c r="R318" s="8"/>
      <c r="S318" s="8"/>
      <c r="T318" s="8"/>
      <c r="U318" s="8"/>
      <c r="V318" s="8"/>
      <c r="W318" s="8"/>
      <c r="X318" s="8"/>
      <c r="Y318" s="8"/>
      <c r="Z318" s="8"/>
    </row>
    <row r="319" spans="1:26" s="9" customFormat="1" ht="15.75">
      <c r="A319" s="29" t="s">
        <v>28</v>
      </c>
      <c r="B319" s="424">
        <v>30</v>
      </c>
      <c r="C319" s="424">
        <v>26</v>
      </c>
      <c r="D319" s="424">
        <v>15</v>
      </c>
      <c r="E319" s="509">
        <v>4</v>
      </c>
      <c r="F319" s="315">
        <v>20</v>
      </c>
      <c r="G319" s="424">
        <v>16</v>
      </c>
      <c r="H319" s="424">
        <v>25</v>
      </c>
      <c r="I319" s="424">
        <v>25</v>
      </c>
      <c r="J319" s="424">
        <v>13</v>
      </c>
      <c r="K319" s="424">
        <v>11</v>
      </c>
      <c r="L319" s="424">
        <v>26</v>
      </c>
      <c r="M319" s="424">
        <v>17</v>
      </c>
      <c r="N319" s="160">
        <f t="shared" si="103"/>
        <v>228</v>
      </c>
      <c r="O319" s="19">
        <f t="shared" si="102"/>
        <v>19</v>
      </c>
      <c r="P319" s="8"/>
      <c r="Q319" s="8"/>
      <c r="R319" s="8"/>
      <c r="S319" s="8"/>
      <c r="T319" s="8"/>
      <c r="U319" s="8"/>
      <c r="V319" s="8"/>
      <c r="W319" s="8"/>
      <c r="X319" s="8"/>
      <c r="Y319" s="8"/>
      <c r="Z319" s="8"/>
    </row>
    <row r="320" spans="1:26" s="9" customFormat="1" ht="15.75">
      <c r="A320" s="29" t="s">
        <v>124</v>
      </c>
      <c r="B320" s="424">
        <v>0</v>
      </c>
      <c r="C320" s="424">
        <v>0</v>
      </c>
      <c r="D320" s="424">
        <v>0</v>
      </c>
      <c r="E320" s="509">
        <v>0</v>
      </c>
      <c r="F320" s="424">
        <v>0</v>
      </c>
      <c r="G320" s="424">
        <v>0</v>
      </c>
      <c r="H320" s="424">
        <v>0</v>
      </c>
      <c r="I320" s="424">
        <v>0</v>
      </c>
      <c r="J320" s="424">
        <v>0</v>
      </c>
      <c r="K320" s="424">
        <v>0</v>
      </c>
      <c r="L320" s="424">
        <v>0</v>
      </c>
      <c r="M320" s="424">
        <v>0</v>
      </c>
      <c r="N320" s="160">
        <f t="shared" si="103"/>
        <v>0</v>
      </c>
      <c r="O320" s="19">
        <f t="shared" si="102"/>
        <v>0</v>
      </c>
      <c r="P320" s="8"/>
      <c r="Q320" s="8"/>
      <c r="R320" s="8"/>
      <c r="S320" s="8"/>
      <c r="T320" s="8"/>
      <c r="U320" s="8"/>
      <c r="V320" s="8"/>
      <c r="W320" s="8"/>
      <c r="X320" s="8"/>
      <c r="Y320" s="8"/>
      <c r="Z320" s="8"/>
    </row>
    <row r="321" spans="1:26" s="9" customFormat="1" ht="15.75">
      <c r="A321" s="29" t="s">
        <v>31</v>
      </c>
      <c r="B321" s="424">
        <v>1</v>
      </c>
      <c r="C321" s="424">
        <v>0</v>
      </c>
      <c r="D321" s="424">
        <v>1</v>
      </c>
      <c r="E321" s="509">
        <v>0</v>
      </c>
      <c r="F321" s="424">
        <v>0</v>
      </c>
      <c r="G321" s="424">
        <v>0</v>
      </c>
      <c r="H321" s="424">
        <v>2</v>
      </c>
      <c r="I321" s="424">
        <v>2</v>
      </c>
      <c r="J321" s="424">
        <v>1</v>
      </c>
      <c r="K321" s="424">
        <v>1</v>
      </c>
      <c r="L321" s="424">
        <v>0</v>
      </c>
      <c r="M321" s="424">
        <v>0</v>
      </c>
      <c r="N321" s="160">
        <f t="shared" si="103"/>
        <v>8</v>
      </c>
      <c r="O321" s="19">
        <f t="shared" si="102"/>
        <v>0.66666666666666663</v>
      </c>
      <c r="P321" s="8"/>
      <c r="Q321" s="8"/>
      <c r="R321" s="8"/>
      <c r="S321" s="8"/>
      <c r="T321" s="8"/>
      <c r="U321" s="8"/>
      <c r="V321" s="8"/>
      <c r="W321" s="8"/>
      <c r="X321" s="8"/>
      <c r="Y321" s="8"/>
      <c r="Z321" s="8"/>
    </row>
    <row r="322" spans="1:26" s="9" customFormat="1" ht="15.75">
      <c r="A322" s="29" t="s">
        <v>30</v>
      </c>
      <c r="B322" s="424">
        <v>1</v>
      </c>
      <c r="C322" s="424">
        <v>1</v>
      </c>
      <c r="D322" s="424">
        <v>4</v>
      </c>
      <c r="E322" s="509">
        <v>2</v>
      </c>
      <c r="F322" s="424">
        <v>2</v>
      </c>
      <c r="G322" s="424">
        <v>1</v>
      </c>
      <c r="H322" s="424">
        <v>1</v>
      </c>
      <c r="I322" s="424">
        <v>0</v>
      </c>
      <c r="J322" s="424">
        <v>0</v>
      </c>
      <c r="K322" s="424">
        <v>0</v>
      </c>
      <c r="L322" s="424">
        <v>0</v>
      </c>
      <c r="M322" s="424">
        <v>0</v>
      </c>
      <c r="N322" s="160">
        <f t="shared" si="103"/>
        <v>12</v>
      </c>
      <c r="O322" s="19">
        <f t="shared" si="102"/>
        <v>1</v>
      </c>
      <c r="P322" s="8"/>
      <c r="Q322" s="8"/>
      <c r="R322" s="8"/>
      <c r="S322" s="8"/>
      <c r="T322" s="8"/>
      <c r="U322" s="8"/>
      <c r="V322" s="8"/>
      <c r="W322" s="8"/>
      <c r="X322" s="8"/>
      <c r="Y322" s="8"/>
      <c r="Z322" s="8"/>
    </row>
    <row r="323" spans="1:26" s="9" customFormat="1" ht="15.75">
      <c r="A323" s="29" t="s">
        <v>319</v>
      </c>
      <c r="B323" s="424">
        <v>0</v>
      </c>
      <c r="C323" s="424">
        <v>0</v>
      </c>
      <c r="D323" s="424">
        <v>0</v>
      </c>
      <c r="E323" s="509">
        <v>0</v>
      </c>
      <c r="F323" s="424">
        <v>0</v>
      </c>
      <c r="G323" s="424">
        <v>0</v>
      </c>
      <c r="H323" s="424">
        <v>0</v>
      </c>
      <c r="I323" s="424">
        <v>0</v>
      </c>
      <c r="J323" s="424">
        <v>0</v>
      </c>
      <c r="K323" s="424">
        <v>0</v>
      </c>
      <c r="L323" s="424">
        <v>0</v>
      </c>
      <c r="M323" s="424">
        <v>0</v>
      </c>
      <c r="N323" s="160">
        <f t="shared" si="103"/>
        <v>0</v>
      </c>
      <c r="O323" s="19">
        <f t="shared" si="102"/>
        <v>0</v>
      </c>
      <c r="P323" s="8"/>
      <c r="Q323" s="8"/>
      <c r="R323" s="8"/>
      <c r="S323" s="8"/>
      <c r="T323" s="8"/>
      <c r="U323" s="8"/>
      <c r="V323" s="8"/>
      <c r="W323" s="8"/>
      <c r="X323" s="8"/>
      <c r="Y323" s="8"/>
      <c r="Z323" s="8"/>
    </row>
    <row r="324" spans="1:26" s="9" customFormat="1" ht="15.75">
      <c r="A324" s="29" t="s">
        <v>125</v>
      </c>
      <c r="B324" s="348">
        <v>0</v>
      </c>
      <c r="C324" s="348">
        <v>0</v>
      </c>
      <c r="D324" s="348">
        <v>1</v>
      </c>
      <c r="E324" s="420">
        <v>1</v>
      </c>
      <c r="F324" s="348">
        <v>1</v>
      </c>
      <c r="G324" s="348">
        <v>0</v>
      </c>
      <c r="H324" s="348">
        <v>0</v>
      </c>
      <c r="I324" s="348">
        <v>0</v>
      </c>
      <c r="J324" s="348">
        <v>0</v>
      </c>
      <c r="K324" s="348">
        <v>0</v>
      </c>
      <c r="L324" s="348">
        <v>0</v>
      </c>
      <c r="M324" s="348">
        <v>0</v>
      </c>
      <c r="N324" s="160">
        <f>SUM(B324:M324)</f>
        <v>3</v>
      </c>
      <c r="O324" s="19">
        <f>IF(N324=0,0,AVERAGE(B324:M324))</f>
        <v>0.25</v>
      </c>
      <c r="P324" s="8"/>
      <c r="Q324" s="8"/>
      <c r="R324" s="8"/>
      <c r="S324" s="8"/>
      <c r="T324" s="8"/>
      <c r="U324" s="8"/>
      <c r="V324" s="8"/>
      <c r="W324" s="8"/>
      <c r="X324" s="8"/>
      <c r="Y324" s="8"/>
      <c r="Z324" s="8"/>
    </row>
    <row r="325" spans="1:26" s="9" customFormat="1" ht="15.75">
      <c r="A325" s="29" t="s">
        <v>720</v>
      </c>
      <c r="B325" s="348">
        <v>0</v>
      </c>
      <c r="C325" s="348">
        <v>0</v>
      </c>
      <c r="D325" s="348">
        <v>0</v>
      </c>
      <c r="E325" s="420">
        <v>0</v>
      </c>
      <c r="F325" s="348">
        <v>3</v>
      </c>
      <c r="G325" s="348">
        <v>2</v>
      </c>
      <c r="H325" s="348">
        <v>1</v>
      </c>
      <c r="I325" s="348">
        <v>4</v>
      </c>
      <c r="J325" s="348">
        <v>8</v>
      </c>
      <c r="K325" s="348">
        <v>1</v>
      </c>
      <c r="L325" s="348">
        <v>4</v>
      </c>
      <c r="M325" s="348">
        <v>1</v>
      </c>
      <c r="N325" s="160">
        <f>SUM(B325:M325)</f>
        <v>24</v>
      </c>
      <c r="O325" s="19">
        <f>IF(N325=0,0,AVERAGE(B325:M325))</f>
        <v>2</v>
      </c>
      <c r="P325" s="8"/>
      <c r="Q325" s="8"/>
      <c r="R325" s="8"/>
      <c r="S325" s="8"/>
      <c r="T325" s="8"/>
      <c r="U325" s="8"/>
      <c r="V325" s="8"/>
      <c r="W325" s="8"/>
      <c r="X325" s="8"/>
      <c r="Y325" s="8"/>
      <c r="Z325" s="8"/>
    </row>
    <row r="326" spans="1:26" s="9" customFormat="1" ht="15.75">
      <c r="A326" s="29" t="s">
        <v>32</v>
      </c>
      <c r="B326" s="348">
        <v>6</v>
      </c>
      <c r="C326" s="348">
        <v>11</v>
      </c>
      <c r="D326" s="348">
        <v>11</v>
      </c>
      <c r="E326" s="420">
        <v>18</v>
      </c>
      <c r="F326" s="348">
        <v>4</v>
      </c>
      <c r="G326" s="348">
        <v>8</v>
      </c>
      <c r="H326" s="348">
        <v>13</v>
      </c>
      <c r="I326" s="348">
        <v>14</v>
      </c>
      <c r="J326" s="348">
        <v>5</v>
      </c>
      <c r="K326" s="348">
        <v>9</v>
      </c>
      <c r="L326" s="348">
        <v>16</v>
      </c>
      <c r="M326" s="348">
        <v>14</v>
      </c>
      <c r="N326" s="160">
        <f t="shared" si="103"/>
        <v>129</v>
      </c>
      <c r="O326" s="19">
        <f t="shared" si="102"/>
        <v>10.75</v>
      </c>
      <c r="P326" s="8"/>
      <c r="Q326" s="8"/>
      <c r="R326" s="8"/>
      <c r="S326" s="8"/>
      <c r="T326" s="8"/>
      <c r="U326" s="8"/>
      <c r="V326" s="8"/>
      <c r="W326" s="8"/>
      <c r="X326" s="8"/>
      <c r="Y326" s="8"/>
      <c r="Z326" s="8"/>
    </row>
    <row r="327" spans="1:26" s="9" customFormat="1" ht="15.75">
      <c r="A327" s="29" t="s">
        <v>722</v>
      </c>
      <c r="B327" s="424">
        <v>2</v>
      </c>
      <c r="C327" s="424">
        <v>6</v>
      </c>
      <c r="D327" s="424">
        <v>27</v>
      </c>
      <c r="E327" s="509">
        <v>29</v>
      </c>
      <c r="F327" s="424">
        <v>2</v>
      </c>
      <c r="G327" s="424">
        <v>0</v>
      </c>
      <c r="H327" s="424">
        <v>0</v>
      </c>
      <c r="I327" s="424">
        <v>0</v>
      </c>
      <c r="J327" s="424">
        <v>0</v>
      </c>
      <c r="K327" s="424">
        <v>0</v>
      </c>
      <c r="L327" s="424">
        <v>1</v>
      </c>
      <c r="M327" s="424">
        <v>0</v>
      </c>
      <c r="N327" s="160">
        <f t="shared" si="103"/>
        <v>67</v>
      </c>
      <c r="O327" s="19">
        <f t="shared" si="102"/>
        <v>5.583333333333333</v>
      </c>
      <c r="P327" s="8"/>
      <c r="Q327" s="8"/>
      <c r="R327" s="8"/>
      <c r="S327" s="8"/>
      <c r="T327" s="8"/>
      <c r="U327" s="8"/>
      <c r="V327" s="8"/>
      <c r="W327" s="8"/>
      <c r="X327" s="8"/>
      <c r="Y327" s="8"/>
      <c r="Z327" s="8"/>
    </row>
    <row r="328" spans="1:26" s="9" customFormat="1" ht="15.75">
      <c r="A328" s="29" t="s">
        <v>723</v>
      </c>
      <c r="B328" s="424">
        <v>5</v>
      </c>
      <c r="C328" s="424">
        <v>8</v>
      </c>
      <c r="D328" s="424">
        <v>5</v>
      </c>
      <c r="E328" s="509">
        <v>0</v>
      </c>
      <c r="F328" s="424">
        <v>0</v>
      </c>
      <c r="G328" s="424">
        <v>13</v>
      </c>
      <c r="H328" s="424">
        <v>20</v>
      </c>
      <c r="I328" s="424">
        <v>39</v>
      </c>
      <c r="J328" s="424">
        <v>30</v>
      </c>
      <c r="K328" s="424">
        <v>22</v>
      </c>
      <c r="L328" s="424">
        <v>15</v>
      </c>
      <c r="M328" s="424">
        <v>24</v>
      </c>
      <c r="N328" s="160">
        <f t="shared" si="103"/>
        <v>181</v>
      </c>
      <c r="O328" s="19">
        <f t="shared" si="102"/>
        <v>15.083333333333334</v>
      </c>
      <c r="P328" s="8"/>
      <c r="Q328" s="8"/>
      <c r="R328" s="8"/>
      <c r="S328" s="8"/>
      <c r="T328" s="8"/>
      <c r="U328" s="8"/>
      <c r="V328" s="8"/>
      <c r="W328" s="8"/>
      <c r="X328" s="8"/>
      <c r="Y328" s="8"/>
      <c r="Z328" s="8"/>
    </row>
    <row r="329" spans="1:26" s="9" customFormat="1" ht="15.75">
      <c r="A329" s="29" t="s">
        <v>33</v>
      </c>
      <c r="B329" s="424">
        <v>0</v>
      </c>
      <c r="C329" s="424">
        <v>0</v>
      </c>
      <c r="D329" s="424">
        <v>0</v>
      </c>
      <c r="E329" s="509">
        <v>0</v>
      </c>
      <c r="F329" s="424">
        <v>0</v>
      </c>
      <c r="G329" s="424">
        <v>0</v>
      </c>
      <c r="H329" s="424">
        <v>0</v>
      </c>
      <c r="I329" s="424">
        <v>1</v>
      </c>
      <c r="J329" s="424">
        <v>0</v>
      </c>
      <c r="K329" s="424">
        <v>0</v>
      </c>
      <c r="L329" s="424">
        <v>0</v>
      </c>
      <c r="M329" s="424">
        <v>0</v>
      </c>
      <c r="N329" s="160">
        <f t="shared" si="103"/>
        <v>1</v>
      </c>
      <c r="O329" s="19">
        <f t="shared" si="102"/>
        <v>8.3333333333333329E-2</v>
      </c>
      <c r="P329" s="8"/>
      <c r="Q329" s="8"/>
      <c r="R329" s="8"/>
      <c r="S329" s="8"/>
      <c r="T329" s="8"/>
      <c r="U329" s="8"/>
      <c r="V329" s="8"/>
      <c r="W329" s="8"/>
      <c r="X329" s="8"/>
      <c r="Y329" s="8"/>
      <c r="Z329" s="8"/>
    </row>
    <row r="330" spans="1:26" s="9" customFormat="1" ht="15.75">
      <c r="A330" s="29" t="s">
        <v>34</v>
      </c>
      <c r="B330" s="424">
        <v>0</v>
      </c>
      <c r="C330" s="424">
        <v>4</v>
      </c>
      <c r="D330" s="424">
        <v>3</v>
      </c>
      <c r="E330" s="509">
        <v>4</v>
      </c>
      <c r="F330" s="424">
        <v>0</v>
      </c>
      <c r="G330" s="424">
        <v>10</v>
      </c>
      <c r="H330" s="424">
        <v>8</v>
      </c>
      <c r="I330" s="424">
        <v>0</v>
      </c>
      <c r="J330" s="424">
        <v>3</v>
      </c>
      <c r="K330" s="424">
        <v>0</v>
      </c>
      <c r="L330" s="424">
        <v>1</v>
      </c>
      <c r="M330" s="424">
        <v>3</v>
      </c>
      <c r="N330" s="160">
        <f t="shared" ref="N330:N331" si="104">SUM(B330:M330)</f>
        <v>36</v>
      </c>
      <c r="O330" s="19">
        <f t="shared" ref="O330:O331" si="105">IF(N330=0,0,AVERAGE(B330:M330))</f>
        <v>3</v>
      </c>
      <c r="P330" s="8"/>
      <c r="Q330" s="8"/>
      <c r="R330" s="8"/>
      <c r="S330" s="8"/>
      <c r="T330" s="8"/>
      <c r="U330" s="8"/>
      <c r="V330" s="8"/>
      <c r="W330" s="8"/>
      <c r="X330" s="8"/>
      <c r="Y330" s="8"/>
      <c r="Z330" s="8"/>
    </row>
    <row r="331" spans="1:26" s="9" customFormat="1" ht="15.75">
      <c r="A331" s="29" t="s">
        <v>35</v>
      </c>
      <c r="B331" s="424">
        <v>3</v>
      </c>
      <c r="C331" s="424">
        <v>3</v>
      </c>
      <c r="D331" s="424">
        <v>1</v>
      </c>
      <c r="E331" s="509">
        <v>1</v>
      </c>
      <c r="F331" s="315">
        <v>6</v>
      </c>
      <c r="G331" s="424">
        <v>4</v>
      </c>
      <c r="H331" s="424">
        <v>7</v>
      </c>
      <c r="I331" s="424">
        <v>0</v>
      </c>
      <c r="J331" s="424">
        <v>3</v>
      </c>
      <c r="K331" s="424">
        <v>2</v>
      </c>
      <c r="L331" s="424">
        <v>2</v>
      </c>
      <c r="M331" s="424">
        <v>1</v>
      </c>
      <c r="N331" s="160">
        <f t="shared" si="104"/>
        <v>33</v>
      </c>
      <c r="O331" s="19">
        <f t="shared" si="105"/>
        <v>2.75</v>
      </c>
      <c r="P331" s="8"/>
      <c r="Q331" s="8"/>
      <c r="R331" s="8"/>
      <c r="S331" s="8"/>
      <c r="T331" s="8"/>
      <c r="U331" s="8"/>
      <c r="V331" s="8"/>
      <c r="W331" s="8"/>
      <c r="X331" s="8"/>
      <c r="Y331" s="8"/>
      <c r="Z331" s="8"/>
    </row>
    <row r="332" spans="1:26" s="9" customFormat="1" ht="15.75">
      <c r="A332" s="43" t="s">
        <v>21</v>
      </c>
      <c r="B332" s="44">
        <f t="shared" ref="B332:M332" si="106">IF(SUM(B312:B331)=0,"",SUM(B312:B331))</f>
        <v>195</v>
      </c>
      <c r="C332" s="44">
        <f t="shared" si="106"/>
        <v>211</v>
      </c>
      <c r="D332" s="44">
        <f t="shared" si="106"/>
        <v>167</v>
      </c>
      <c r="E332" s="44">
        <f t="shared" si="106"/>
        <v>129</v>
      </c>
      <c r="F332" s="44">
        <f t="shared" si="106"/>
        <v>209</v>
      </c>
      <c r="G332" s="44">
        <f t="shared" si="106"/>
        <v>220</v>
      </c>
      <c r="H332" s="44">
        <f t="shared" si="106"/>
        <v>246</v>
      </c>
      <c r="I332" s="44">
        <f t="shared" si="106"/>
        <v>234</v>
      </c>
      <c r="J332" s="44">
        <f t="shared" si="106"/>
        <v>229</v>
      </c>
      <c r="K332" s="44">
        <f t="shared" si="106"/>
        <v>230</v>
      </c>
      <c r="L332" s="44">
        <f t="shared" si="106"/>
        <v>224</v>
      </c>
      <c r="M332" s="44">
        <f t="shared" si="106"/>
        <v>244</v>
      </c>
      <c r="N332" s="139">
        <f>SUM(N312:N331)</f>
        <v>2538</v>
      </c>
      <c r="O332" s="45">
        <f>SUM(O312:O329)</f>
        <v>205.75</v>
      </c>
      <c r="P332" s="10"/>
      <c r="Q332" s="10"/>
      <c r="R332" s="10"/>
      <c r="S332" s="10"/>
      <c r="T332" s="10"/>
      <c r="U332" s="10"/>
      <c r="V332" s="10"/>
      <c r="W332" s="10"/>
      <c r="X332" s="10"/>
      <c r="Y332" s="10"/>
      <c r="Z332" s="10"/>
    </row>
    <row r="333" spans="1:26" s="9" customFormat="1">
      <c r="A333" s="46"/>
      <c r="B333" s="47"/>
      <c r="C333" s="47"/>
      <c r="D333" s="47"/>
      <c r="E333" s="48"/>
      <c r="F333" s="48"/>
      <c r="G333" s="48"/>
      <c r="H333" s="48"/>
      <c r="I333" s="48"/>
      <c r="J333" s="48"/>
      <c r="K333" s="48"/>
      <c r="L333" s="48"/>
      <c r="M333" s="48"/>
      <c r="N333" s="140"/>
      <c r="O333" s="13"/>
      <c r="P333" s="8"/>
      <c r="Q333" s="8"/>
      <c r="R333" s="8"/>
      <c r="S333" s="8"/>
      <c r="T333" s="8"/>
      <c r="U333" s="8"/>
      <c r="V333" s="8"/>
      <c r="W333" s="8"/>
      <c r="X333" s="8"/>
      <c r="Y333" s="8"/>
      <c r="Z333" s="8"/>
    </row>
    <row r="334" spans="1:26" s="9" customFormat="1" ht="15.75">
      <c r="A334" s="161" t="s">
        <v>75</v>
      </c>
      <c r="B334" s="537"/>
      <c r="C334" s="537"/>
      <c r="D334" s="537"/>
      <c r="E334" s="537"/>
      <c r="F334" s="537"/>
      <c r="G334" s="537"/>
      <c r="H334" s="537"/>
      <c r="I334" s="537"/>
      <c r="J334" s="537"/>
      <c r="K334" s="537"/>
      <c r="L334" s="537"/>
      <c r="M334" s="537"/>
      <c r="N334" s="538"/>
      <c r="O334" s="539"/>
      <c r="P334" s="8"/>
      <c r="Q334" s="8"/>
      <c r="R334" s="8"/>
      <c r="S334" s="8"/>
      <c r="T334" s="8"/>
      <c r="U334" s="8"/>
      <c r="V334" s="8"/>
      <c r="W334" s="8"/>
      <c r="X334" s="8"/>
      <c r="Y334" s="8"/>
      <c r="Z334" s="8"/>
    </row>
    <row r="335" spans="1:26" s="9" customFormat="1" ht="15.75">
      <c r="A335" s="158" t="s">
        <v>18</v>
      </c>
      <c r="B335" s="36">
        <v>177</v>
      </c>
      <c r="C335" s="36">
        <v>183</v>
      </c>
      <c r="D335" s="36">
        <v>135</v>
      </c>
      <c r="E335" s="36">
        <v>7</v>
      </c>
      <c r="F335" s="36">
        <v>174</v>
      </c>
      <c r="G335" s="36">
        <v>187</v>
      </c>
      <c r="H335" s="36">
        <v>195</v>
      </c>
      <c r="I335" s="36">
        <v>196</v>
      </c>
      <c r="J335" s="36">
        <v>188</v>
      </c>
      <c r="K335" s="36">
        <v>194</v>
      </c>
      <c r="L335" s="36">
        <v>179</v>
      </c>
      <c r="M335" s="36">
        <v>200</v>
      </c>
      <c r="N335" s="160">
        <f>SUM(B335:M335)</f>
        <v>2015</v>
      </c>
      <c r="O335" s="19">
        <f>IF(N335=0,0,AVERAGE(B335:M335))</f>
        <v>167.91666666666666</v>
      </c>
      <c r="P335" s="8"/>
      <c r="Q335" s="8"/>
      <c r="R335" s="8"/>
      <c r="S335" s="8"/>
      <c r="T335" s="8"/>
      <c r="U335" s="8"/>
      <c r="V335" s="8"/>
      <c r="W335" s="8"/>
      <c r="X335" s="8"/>
      <c r="Y335" s="8"/>
      <c r="Z335" s="8"/>
    </row>
    <row r="336" spans="1:26" s="9" customFormat="1" ht="15.75">
      <c r="A336" s="41" t="s">
        <v>19</v>
      </c>
      <c r="B336" s="18">
        <v>14</v>
      </c>
      <c r="C336" s="18">
        <v>19</v>
      </c>
      <c r="D336" s="18">
        <v>21</v>
      </c>
      <c r="E336" s="18">
        <v>103</v>
      </c>
      <c r="F336" s="18">
        <v>30</v>
      </c>
      <c r="G336" s="18">
        <v>26</v>
      </c>
      <c r="H336" s="18">
        <v>40</v>
      </c>
      <c r="I336" s="18">
        <v>26</v>
      </c>
      <c r="J336" s="18">
        <v>33</v>
      </c>
      <c r="K336" s="18">
        <v>25</v>
      </c>
      <c r="L336" s="18">
        <v>31</v>
      </c>
      <c r="M336" s="18">
        <v>30</v>
      </c>
      <c r="N336" s="160">
        <f>SUM(B336:M336)</f>
        <v>398</v>
      </c>
      <c r="O336" s="19">
        <f>IF(N336=0,0,AVERAGE(B336:M336))</f>
        <v>33.166666666666664</v>
      </c>
      <c r="P336" s="8"/>
      <c r="Q336" s="8"/>
      <c r="R336" s="8"/>
      <c r="S336" s="8"/>
      <c r="T336" s="8"/>
      <c r="U336" s="8"/>
      <c r="V336" s="8"/>
      <c r="W336" s="8"/>
      <c r="X336" s="8"/>
      <c r="Y336" s="8"/>
      <c r="Z336" s="8"/>
    </row>
    <row r="337" spans="1:26" s="9" customFormat="1" ht="15.75">
      <c r="A337" s="41" t="s">
        <v>20</v>
      </c>
      <c r="B337" s="18">
        <v>4</v>
      </c>
      <c r="C337" s="18">
        <v>9</v>
      </c>
      <c r="D337" s="18">
        <v>11</v>
      </c>
      <c r="E337" s="18">
        <v>19</v>
      </c>
      <c r="F337" s="18">
        <v>5</v>
      </c>
      <c r="G337" s="18">
        <v>7</v>
      </c>
      <c r="H337" s="18">
        <v>11</v>
      </c>
      <c r="I337" s="18">
        <v>12</v>
      </c>
      <c r="J337" s="18">
        <v>8</v>
      </c>
      <c r="K337" s="18">
        <v>11</v>
      </c>
      <c r="L337" s="18">
        <v>14</v>
      </c>
      <c r="M337" s="18">
        <v>14</v>
      </c>
      <c r="N337" s="160">
        <f>SUM(B337:M337)</f>
        <v>125</v>
      </c>
      <c r="O337" s="19">
        <f>IF(N337=0,0,AVERAGE(B337:M337))</f>
        <v>10.416666666666666</v>
      </c>
      <c r="P337" s="8"/>
      <c r="Q337" s="8"/>
      <c r="R337" s="8"/>
      <c r="S337" s="8"/>
      <c r="T337" s="8"/>
      <c r="U337" s="8"/>
      <c r="V337" s="8"/>
      <c r="W337" s="8"/>
      <c r="X337" s="8"/>
      <c r="Y337" s="8"/>
      <c r="Z337" s="8"/>
    </row>
    <row r="338" spans="1:26" s="9" customFormat="1" ht="15.75">
      <c r="A338" s="43" t="s">
        <v>21</v>
      </c>
      <c r="B338" s="44">
        <f t="shared" ref="B338:C338" si="107">IF(SUM(B335:B337)=0,"",SUM(B335:B337))</f>
        <v>195</v>
      </c>
      <c r="C338" s="44">
        <f t="shared" si="107"/>
        <v>211</v>
      </c>
      <c r="D338" s="44">
        <f t="shared" ref="D338:E338" si="108">IF(SUM(D335:D337)=0,"",SUM(D335:D337))</f>
        <v>167</v>
      </c>
      <c r="E338" s="44">
        <f t="shared" si="108"/>
        <v>129</v>
      </c>
      <c r="F338" s="44">
        <f t="shared" ref="F338:G338" si="109">IF(SUM(F335:F337)=0,"",SUM(F335:F337))</f>
        <v>209</v>
      </c>
      <c r="G338" s="44">
        <f t="shared" si="109"/>
        <v>220</v>
      </c>
      <c r="H338" s="44">
        <f t="shared" ref="H338:I338" si="110">IF(SUM(H335:H337)=0,"",SUM(H335:H337))</f>
        <v>246</v>
      </c>
      <c r="I338" s="44">
        <f t="shared" si="110"/>
        <v>234</v>
      </c>
      <c r="J338" s="44">
        <f t="shared" ref="J338:K338" si="111">IF(SUM(J335:J337)=0,"",SUM(J335:J337))</f>
        <v>229</v>
      </c>
      <c r="K338" s="44">
        <f t="shared" si="111"/>
        <v>230</v>
      </c>
      <c r="L338" s="44">
        <f t="shared" ref="L338:M338" si="112">IF(SUM(L335:L337)=0,"",SUM(L335:L337))</f>
        <v>224</v>
      </c>
      <c r="M338" s="44">
        <f t="shared" si="112"/>
        <v>244</v>
      </c>
      <c r="N338" s="139">
        <f>SUM(N335:N337)</f>
        <v>2538</v>
      </c>
      <c r="O338" s="45">
        <f>SUM(O335:O337)</f>
        <v>211.49999999999997</v>
      </c>
      <c r="P338" s="8"/>
      <c r="Q338" s="8"/>
      <c r="R338" s="8"/>
      <c r="S338" s="8"/>
      <c r="T338" s="8"/>
      <c r="U338" s="8"/>
      <c r="V338" s="8"/>
      <c r="W338" s="8"/>
      <c r="X338" s="8"/>
      <c r="Y338" s="8"/>
      <c r="Z338" s="8"/>
    </row>
    <row r="339" spans="1:26" s="9" customFormat="1" ht="15.75">
      <c r="A339" s="74" t="s">
        <v>646</v>
      </c>
      <c r="B339" s="22">
        <f t="shared" ref="B339:G339" si="113">IF(B338=0,"",B338/B1676)</f>
        <v>6.290322580645161</v>
      </c>
      <c r="C339" s="22">
        <f t="shared" si="113"/>
        <v>7.5357142857142856</v>
      </c>
      <c r="D339" s="22">
        <f t="shared" si="113"/>
        <v>5.387096774193548</v>
      </c>
      <c r="E339" s="22">
        <f t="shared" si="113"/>
        <v>4.3</v>
      </c>
      <c r="F339" s="22">
        <f t="shared" si="113"/>
        <v>6.741935483870968</v>
      </c>
      <c r="G339" s="22">
        <f t="shared" si="113"/>
        <v>7.333333333333333</v>
      </c>
      <c r="H339" s="22">
        <f t="shared" ref="H339:I339" si="114">IF(H338=0,"",H338/H1676)</f>
        <v>7.935483870967742</v>
      </c>
      <c r="I339" s="22">
        <f t="shared" si="114"/>
        <v>7.5483870967741939</v>
      </c>
      <c r="J339" s="22">
        <f t="shared" ref="J339:K339" si="115">IF(J338=0,"",J338/J1676)</f>
        <v>7.6333333333333337</v>
      </c>
      <c r="K339" s="22">
        <f t="shared" si="115"/>
        <v>7.419354838709677</v>
      </c>
      <c r="L339" s="22">
        <f t="shared" ref="L339:M339" si="116">IF(L338=0,"",L338/L1676)</f>
        <v>7.4666666666666668</v>
      </c>
      <c r="M339" s="22">
        <f t="shared" si="116"/>
        <v>7.870967741935484</v>
      </c>
      <c r="N339" s="128">
        <f>SUM(B339:M339)</f>
        <v>83.462596006144395</v>
      </c>
      <c r="O339" s="22">
        <f>IF(N339=0,0,AVERAGE(B339:M339))</f>
        <v>6.9552163338453665</v>
      </c>
      <c r="P339" s="8"/>
      <c r="Q339" s="8"/>
      <c r="R339" s="8"/>
      <c r="S339" s="8"/>
      <c r="T339" s="8"/>
      <c r="U339" s="8"/>
      <c r="V339" s="8"/>
      <c r="W339" s="8"/>
      <c r="X339" s="8"/>
      <c r="Y339" s="8"/>
      <c r="Z339" s="8"/>
    </row>
    <row r="340" spans="1:26" s="9" customFormat="1" ht="15.75">
      <c r="A340" s="46"/>
      <c r="B340" s="47"/>
      <c r="C340" s="47"/>
      <c r="D340" s="47"/>
      <c r="E340" s="48"/>
      <c r="F340" s="48"/>
      <c r="G340" s="48"/>
      <c r="H340" s="48"/>
      <c r="I340" s="48"/>
      <c r="J340" s="48"/>
      <c r="K340" s="48"/>
      <c r="L340" s="48"/>
      <c r="M340" s="48"/>
      <c r="N340" s="140"/>
      <c r="O340" s="49"/>
      <c r="P340" s="10"/>
      <c r="Q340" s="10"/>
      <c r="R340" s="10"/>
      <c r="S340" s="10"/>
      <c r="T340" s="10"/>
      <c r="U340" s="10"/>
      <c r="V340" s="10"/>
      <c r="W340" s="10"/>
      <c r="X340" s="10"/>
      <c r="Y340" s="10"/>
      <c r="Z340" s="10"/>
    </row>
    <row r="341" spans="1:26" s="9" customFormat="1" ht="15.75">
      <c r="A341" s="161" t="s">
        <v>76</v>
      </c>
      <c r="B341" s="162"/>
      <c r="C341" s="162"/>
      <c r="D341" s="162"/>
      <c r="E341" s="162"/>
      <c r="F341" s="162"/>
      <c r="G341" s="162"/>
      <c r="H341" s="162"/>
      <c r="I341" s="162"/>
      <c r="J341" s="162"/>
      <c r="K341" s="162"/>
      <c r="L341" s="162"/>
      <c r="M341" s="162"/>
      <c r="N341" s="163"/>
      <c r="O341" s="164"/>
      <c r="P341" s="8"/>
      <c r="Q341" s="8"/>
      <c r="R341" s="8"/>
      <c r="S341" s="8"/>
      <c r="T341" s="8"/>
      <c r="U341" s="8"/>
      <c r="V341" s="8"/>
      <c r="W341" s="8"/>
      <c r="X341" s="8"/>
      <c r="Y341" s="8"/>
      <c r="Z341" s="8"/>
    </row>
    <row r="342" spans="1:26" s="9" customFormat="1" ht="15.75">
      <c r="A342" s="158" t="s">
        <v>18</v>
      </c>
      <c r="B342" s="159">
        <f t="shared" ref="B342:J342" si="117">IF(B15="","",(B45)/(B15))</f>
        <v>0.6112903225806452</v>
      </c>
      <c r="C342" s="159">
        <f t="shared" si="117"/>
        <v>0.68928571428571428</v>
      </c>
      <c r="D342" s="159">
        <f t="shared" si="117"/>
        <v>0.52983870967741931</v>
      </c>
      <c r="E342" s="159">
        <f t="shared" si="117"/>
        <v>2.75E-2</v>
      </c>
      <c r="F342" s="159">
        <f t="shared" si="117"/>
        <v>0.63306451612903225</v>
      </c>
      <c r="G342" s="159">
        <f t="shared" si="117"/>
        <v>0.56083333333333329</v>
      </c>
      <c r="H342" s="159">
        <f t="shared" si="117"/>
        <v>0.57016129032258067</v>
      </c>
      <c r="I342" s="159">
        <f t="shared" si="117"/>
        <v>0.62177419354838714</v>
      </c>
      <c r="J342" s="159">
        <f t="shared" si="117"/>
        <v>0.55833333333333335</v>
      </c>
      <c r="K342" s="159">
        <f t="shared" ref="K342:L342" si="118">IF(K15="","",(K45)/(K15))</f>
        <v>0.59758064516129028</v>
      </c>
      <c r="L342" s="159">
        <f t="shared" si="118"/>
        <v>0.6825</v>
      </c>
      <c r="M342" s="159">
        <f t="shared" ref="M342" si="119">IF(M15="","",(M45)/(M15))</f>
        <v>0.61048387096774193</v>
      </c>
      <c r="N342" s="192">
        <f>SUM(B342:M342)</f>
        <v>6.692645929339478</v>
      </c>
      <c r="O342" s="192">
        <f>IF(N342=0,0,AVERAGE(B342:M342))</f>
        <v>0.55772049411162317</v>
      </c>
      <c r="P342" s="8"/>
      <c r="Q342" s="8"/>
      <c r="R342" s="8"/>
      <c r="S342" s="8"/>
      <c r="T342" s="8"/>
      <c r="U342" s="8"/>
      <c r="V342" s="8"/>
      <c r="W342" s="8"/>
      <c r="X342" s="8"/>
      <c r="Y342" s="8"/>
      <c r="Z342" s="8"/>
    </row>
    <row r="343" spans="1:26" s="9" customFormat="1" ht="15.75">
      <c r="A343" s="41" t="s">
        <v>19</v>
      </c>
      <c r="B343" s="156">
        <f t="shared" ref="B343:J343" si="120">IF(B16="","",(B46)/(B16))</f>
        <v>0.74032258064516132</v>
      </c>
      <c r="C343" s="156">
        <f t="shared" si="120"/>
        <v>0.8303571428571429</v>
      </c>
      <c r="D343" s="156">
        <f t="shared" si="120"/>
        <v>0.74193548387096775</v>
      </c>
      <c r="E343" s="156">
        <f t="shared" si="120"/>
        <v>1.4566666666666668</v>
      </c>
      <c r="F343" s="156">
        <f t="shared" si="120"/>
        <v>0.80161290322580647</v>
      </c>
      <c r="G343" s="156">
        <f t="shared" si="120"/>
        <v>0.83</v>
      </c>
      <c r="H343" s="156">
        <f t="shared" si="120"/>
        <v>0.8354838709677419</v>
      </c>
      <c r="I343" s="156">
        <f t="shared" si="120"/>
        <v>0.75806451612903225</v>
      </c>
      <c r="J343" s="156">
        <f t="shared" si="120"/>
        <v>0.88833333333333331</v>
      </c>
      <c r="K343" s="156">
        <f t="shared" ref="K343:L343" si="121">IF(K16="","",(K46)/(K16))</f>
        <v>0.8612903225806452</v>
      </c>
      <c r="L343" s="156">
        <f t="shared" si="121"/>
        <v>0.85166666666666668</v>
      </c>
      <c r="M343" s="156">
        <f t="shared" ref="M343" si="122">IF(M16="","",(M46)/(M16))</f>
        <v>0.86612903225806448</v>
      </c>
      <c r="N343" s="192">
        <f>SUM(B343:M343)</f>
        <v>10.461862519201228</v>
      </c>
      <c r="O343" s="192">
        <f>IF(N343=0,0,AVERAGE(B343:M343))</f>
        <v>0.87182187660010235</v>
      </c>
      <c r="P343" s="8"/>
      <c r="Q343" s="8"/>
      <c r="R343" s="8"/>
      <c r="S343" s="8"/>
      <c r="T343" s="8"/>
      <c r="U343" s="8"/>
      <c r="V343" s="8"/>
      <c r="W343" s="8"/>
      <c r="X343" s="8"/>
      <c r="Y343" s="8"/>
      <c r="Z343" s="8"/>
    </row>
    <row r="344" spans="1:26" s="9" customFormat="1" ht="15.75">
      <c r="A344" s="41" t="s">
        <v>20</v>
      </c>
      <c r="B344" s="156">
        <f t="shared" ref="B344:J344" si="123">IF(B17="","",(B47)/(B17))</f>
        <v>0.50645161290322582</v>
      </c>
      <c r="C344" s="156">
        <f t="shared" si="123"/>
        <v>0.56428571428571428</v>
      </c>
      <c r="D344" s="156">
        <f t="shared" si="123"/>
        <v>0.75806451612903225</v>
      </c>
      <c r="E344" s="156">
        <f t="shared" si="123"/>
        <v>0.72333333333333338</v>
      </c>
      <c r="F344" s="156">
        <f t="shared" si="123"/>
        <v>0.60967741935483866</v>
      </c>
      <c r="G344" s="156">
        <f t="shared" si="123"/>
        <v>0.57666666666666666</v>
      </c>
      <c r="H344" s="156">
        <f t="shared" si="123"/>
        <v>0.6064516129032258</v>
      </c>
      <c r="I344" s="156">
        <f t="shared" si="123"/>
        <v>0.59677419354838712</v>
      </c>
      <c r="J344" s="156">
        <f t="shared" si="123"/>
        <v>0.56000000000000005</v>
      </c>
      <c r="K344" s="156">
        <f t="shared" ref="K344:L344" si="124">IF(K17="","",(K47)/(K17))</f>
        <v>0.68709677419354842</v>
      </c>
      <c r="L344" s="156">
        <f t="shared" si="124"/>
        <v>0.7</v>
      </c>
      <c r="M344" s="156">
        <f t="shared" ref="M344" si="125">IF(M17="","",(M47)/(M17))</f>
        <v>0.73548387096774193</v>
      </c>
      <c r="N344" s="192">
        <f>SUM(B344:M344)</f>
        <v>7.6242857142857137</v>
      </c>
      <c r="O344" s="192">
        <f>IF(N344=0,0,AVERAGE(B344:M344))</f>
        <v>0.63535714285714284</v>
      </c>
      <c r="P344" s="8"/>
      <c r="Q344" s="8"/>
      <c r="R344" s="8"/>
      <c r="S344" s="8"/>
      <c r="T344" s="8"/>
      <c r="U344" s="8"/>
      <c r="V344" s="8"/>
      <c r="W344" s="8"/>
      <c r="X344" s="8"/>
      <c r="Y344" s="8"/>
      <c r="Z344" s="8"/>
    </row>
    <row r="345" spans="1:26" s="9" customFormat="1" ht="15.75">
      <c r="A345" s="43" t="s">
        <v>77</v>
      </c>
      <c r="B345" s="157">
        <f t="shared" ref="B345:J345" si="126">IF(B18="","",(B48)/(B18))</f>
        <v>0.63317972350230411</v>
      </c>
      <c r="C345" s="157">
        <f t="shared" si="126"/>
        <v>0.71173469387755106</v>
      </c>
      <c r="D345" s="157">
        <f t="shared" si="126"/>
        <v>0.62304147465437787</v>
      </c>
      <c r="E345" s="157">
        <f t="shared" si="126"/>
        <v>0.53523809523809529</v>
      </c>
      <c r="F345" s="157">
        <f t="shared" si="126"/>
        <v>0.6778801843317972</v>
      </c>
      <c r="G345" s="157">
        <f t="shared" si="126"/>
        <v>0.64</v>
      </c>
      <c r="H345" s="157">
        <f t="shared" si="126"/>
        <v>0.65115207373271888</v>
      </c>
      <c r="I345" s="157">
        <f t="shared" si="126"/>
        <v>0.65714285714285714</v>
      </c>
      <c r="J345" s="157">
        <f t="shared" si="126"/>
        <v>0.6528571428571428</v>
      </c>
      <c r="K345" s="157">
        <f t="shared" ref="K345:L345" si="127">IF(K18="","",(K48)/(K18))</f>
        <v>0.68571428571428572</v>
      </c>
      <c r="L345" s="157">
        <f t="shared" si="127"/>
        <v>0.73333333333333328</v>
      </c>
      <c r="M345" s="157">
        <f t="shared" ref="M345" si="128">IF(M18="","",(M48)/(M18))</f>
        <v>0.70138248847926266</v>
      </c>
      <c r="N345" s="157">
        <f>SUM(N342:N344)</f>
        <v>24.778794162826422</v>
      </c>
      <c r="O345" s="157">
        <f>IF(N345=0,0,AVERAGE(B345:M345))</f>
        <v>0.65855469607197725</v>
      </c>
      <c r="P345" s="8"/>
      <c r="Q345" s="8"/>
      <c r="R345" s="8"/>
      <c r="S345" s="8"/>
      <c r="T345" s="8"/>
      <c r="U345" s="8"/>
      <c r="V345" s="8"/>
      <c r="W345" s="8"/>
      <c r="X345" s="8"/>
      <c r="Y345" s="8"/>
      <c r="Z345" s="8"/>
    </row>
    <row r="346" spans="1:26" s="9" customFormat="1">
      <c r="A346" s="46"/>
      <c r="B346" s="47"/>
      <c r="C346" s="47"/>
      <c r="D346" s="47"/>
      <c r="E346" s="47"/>
      <c r="F346" s="47"/>
      <c r="G346" s="47"/>
      <c r="H346" s="47"/>
      <c r="I346" s="47"/>
      <c r="J346" s="47"/>
      <c r="K346" s="47"/>
      <c r="L346" s="47"/>
      <c r="M346" s="47"/>
      <c r="N346" s="140"/>
      <c r="O346" s="255"/>
      <c r="P346" s="8"/>
      <c r="Q346" s="8"/>
      <c r="R346" s="8"/>
      <c r="S346" s="8"/>
      <c r="T346" s="8"/>
      <c r="U346" s="8"/>
      <c r="V346" s="8"/>
      <c r="W346" s="8"/>
      <c r="X346" s="8"/>
      <c r="Y346" s="8"/>
      <c r="Z346" s="8"/>
    </row>
    <row r="347" spans="1:26" s="9" customFormat="1" ht="15.75">
      <c r="A347" s="43" t="s">
        <v>77</v>
      </c>
      <c r="B347" s="157">
        <f t="shared" ref="B347:I347" si="129">IF(B18="","",B48/B18)</f>
        <v>0.63317972350230411</v>
      </c>
      <c r="C347" s="157">
        <f t="shared" si="129"/>
        <v>0.71173469387755106</v>
      </c>
      <c r="D347" s="157">
        <f t="shared" si="129"/>
        <v>0.62304147465437787</v>
      </c>
      <c r="E347" s="157">
        <f t="shared" si="129"/>
        <v>0.53523809523809529</v>
      </c>
      <c r="F347" s="157">
        <f t="shared" si="129"/>
        <v>0.6778801843317972</v>
      </c>
      <c r="G347" s="157">
        <f t="shared" si="129"/>
        <v>0.64</v>
      </c>
      <c r="H347" s="157">
        <f t="shared" si="129"/>
        <v>0.65115207373271888</v>
      </c>
      <c r="I347" s="157">
        <f t="shared" si="129"/>
        <v>0.65714285714285714</v>
      </c>
      <c r="J347" s="157">
        <f t="shared" ref="J347:K347" si="130">IF(J18="","",J48/J18)</f>
        <v>0.6528571428571428</v>
      </c>
      <c r="K347" s="157">
        <f t="shared" si="130"/>
        <v>0.68571428571428572</v>
      </c>
      <c r="L347" s="157">
        <f t="shared" ref="L347:M347" si="131">IF(L18="","",L48/L18)</f>
        <v>0.73333333333333328</v>
      </c>
      <c r="M347" s="157">
        <f t="shared" si="131"/>
        <v>0.70138248847926266</v>
      </c>
      <c r="N347" s="157">
        <f>SUM(N342:N344)</f>
        <v>24.778794162826422</v>
      </c>
      <c r="O347" s="157">
        <f>IF(N347=0,0,AVERAGE(B347:M347))</f>
        <v>0.65855469607197725</v>
      </c>
      <c r="P347" s="8"/>
      <c r="Q347" s="8"/>
      <c r="R347" s="8"/>
      <c r="S347" s="8"/>
      <c r="T347" s="8"/>
      <c r="U347" s="8"/>
      <c r="V347" s="8"/>
      <c r="W347" s="8"/>
      <c r="X347" s="8"/>
      <c r="Y347" s="8"/>
      <c r="Z347" s="8"/>
    </row>
    <row r="348" spans="1:26" s="9" customFormat="1">
      <c r="A348" s="53"/>
      <c r="B348" s="51"/>
      <c r="C348" s="51"/>
      <c r="D348" s="51"/>
      <c r="E348" s="51"/>
      <c r="F348" s="51"/>
      <c r="G348" s="51"/>
      <c r="H348" s="51"/>
      <c r="I348" s="51"/>
      <c r="J348" s="51"/>
      <c r="K348" s="51"/>
      <c r="L348" s="52"/>
      <c r="M348" s="52"/>
      <c r="N348" s="140"/>
      <c r="O348" s="13"/>
      <c r="P348" s="8"/>
      <c r="Q348" s="8"/>
      <c r="R348" s="8"/>
      <c r="S348" s="8"/>
      <c r="T348" s="8"/>
      <c r="U348" s="8"/>
      <c r="V348" s="8"/>
      <c r="W348" s="8"/>
      <c r="X348" s="8"/>
      <c r="Y348" s="8"/>
      <c r="Z348" s="8"/>
    </row>
    <row r="349" spans="1:26" s="9" customFormat="1" ht="15.75">
      <c r="A349" s="14" t="s">
        <v>78</v>
      </c>
      <c r="B349" s="15"/>
      <c r="C349" s="15"/>
      <c r="D349" s="15"/>
      <c r="E349" s="15"/>
      <c r="F349" s="15"/>
      <c r="G349" s="15"/>
      <c r="H349" s="15"/>
      <c r="I349" s="15"/>
      <c r="J349" s="15"/>
      <c r="K349" s="15"/>
      <c r="L349" s="15"/>
      <c r="M349" s="15"/>
      <c r="N349" s="564" t="s">
        <v>584</v>
      </c>
      <c r="O349" s="565" t="s">
        <v>16</v>
      </c>
      <c r="P349" s="8"/>
      <c r="Q349" s="8"/>
      <c r="R349" s="8"/>
      <c r="S349" s="8"/>
      <c r="T349" s="8"/>
      <c r="U349" s="8"/>
      <c r="V349" s="8"/>
      <c r="W349" s="8"/>
      <c r="X349" s="8"/>
      <c r="Y349" s="8"/>
      <c r="Z349" s="8"/>
    </row>
    <row r="350" spans="1:26" s="9" customFormat="1" ht="15.75">
      <c r="A350" s="37" t="s">
        <v>18</v>
      </c>
      <c r="B350" s="129">
        <f t="shared" ref="B350:J350" si="132">IF(B45=0,"",B45/SUM(B335+B300))</f>
        <v>4.0319148936170217</v>
      </c>
      <c r="C350" s="129">
        <f t="shared" si="132"/>
        <v>4.0418848167539263</v>
      </c>
      <c r="D350" s="129">
        <f t="shared" si="132"/>
        <v>3.5901639344262297</v>
      </c>
      <c r="E350" s="129">
        <f t="shared" si="132"/>
        <v>4.7142857142857144</v>
      </c>
      <c r="F350" s="129">
        <f t="shared" si="132"/>
        <v>4.1978609625668453</v>
      </c>
      <c r="G350" s="129">
        <f t="shared" si="132"/>
        <v>3.4162436548223352</v>
      </c>
      <c r="H350" s="129">
        <f t="shared" si="132"/>
        <v>3.3990384615384617</v>
      </c>
      <c r="I350" s="129">
        <f t="shared" si="132"/>
        <v>3.5694444444444446</v>
      </c>
      <c r="J350" s="129">
        <f t="shared" si="132"/>
        <v>3.3333333333333335</v>
      </c>
      <c r="K350" s="129">
        <f t="shared" ref="K350:L350" si="133">IF(K45=0,"",K45/SUM(K335+K300))</f>
        <v>3.6323529411764706</v>
      </c>
      <c r="L350" s="129">
        <f t="shared" si="133"/>
        <v>4.2216494845360826</v>
      </c>
      <c r="M350" s="129">
        <f t="shared" ref="M350" si="134">IF(M45=0,"",M45/SUM(M335+M300))</f>
        <v>3.6047619047619048</v>
      </c>
      <c r="N350" s="154">
        <f>SUM(B350:M350)</f>
        <v>45.752934546262772</v>
      </c>
      <c r="O350" s="111">
        <f>IF(N350=0,0,AVERAGE(B350:M350))</f>
        <v>3.8127445455218978</v>
      </c>
      <c r="P350" s="8"/>
      <c r="Q350" s="8"/>
      <c r="R350" s="8"/>
      <c r="S350" s="8"/>
      <c r="T350" s="8"/>
      <c r="U350" s="8"/>
      <c r="V350" s="8"/>
      <c r="W350" s="8"/>
      <c r="X350" s="8"/>
      <c r="Y350" s="8"/>
      <c r="Z350" s="8"/>
    </row>
    <row r="351" spans="1:26" s="9" customFormat="1" ht="15.75">
      <c r="A351" s="37" t="s">
        <v>19</v>
      </c>
      <c r="B351" s="129">
        <f t="shared" ref="B351:J351" si="135">IF(B46=0,"",B46/SUM(B336+B301))</f>
        <v>30.6</v>
      </c>
      <c r="C351" s="129">
        <f t="shared" si="135"/>
        <v>17.884615384615383</v>
      </c>
      <c r="D351" s="129">
        <f t="shared" si="135"/>
        <v>16.428571428571427</v>
      </c>
      <c r="E351" s="129">
        <f t="shared" si="135"/>
        <v>6.2877697841726619</v>
      </c>
      <c r="F351" s="129">
        <f t="shared" si="135"/>
        <v>13.432432432432432</v>
      </c>
      <c r="G351" s="129">
        <f t="shared" si="135"/>
        <v>16.06451612903226</v>
      </c>
      <c r="H351" s="129">
        <f t="shared" si="135"/>
        <v>11.772727272727273</v>
      </c>
      <c r="I351" s="129">
        <f t="shared" si="135"/>
        <v>16.785714285714285</v>
      </c>
      <c r="J351" s="129">
        <f t="shared" si="135"/>
        <v>12.69047619047619</v>
      </c>
      <c r="K351" s="129">
        <f t="shared" ref="K351:L351" si="136">IF(K46=0,"",K46/SUM(K336+K301))</f>
        <v>17.225806451612904</v>
      </c>
      <c r="L351" s="129">
        <f t="shared" si="136"/>
        <v>13.102564102564102</v>
      </c>
      <c r="M351" s="129">
        <f t="shared" ref="M351" si="137">IF(M46=0,"",M46/SUM(M336+M301))</f>
        <v>12.204545454545455</v>
      </c>
      <c r="N351" s="133">
        <f>SUM(B351:M351)</f>
        <v>184.47973891646441</v>
      </c>
      <c r="O351" s="19">
        <f>IF(N351=0,0,AVERAGE(B351:M351))</f>
        <v>15.373311576372034</v>
      </c>
      <c r="P351" s="8"/>
      <c r="Q351" s="8"/>
      <c r="R351" s="8"/>
      <c r="S351" s="8"/>
      <c r="T351" s="8"/>
      <c r="U351" s="8"/>
      <c r="V351" s="8"/>
      <c r="W351" s="8"/>
      <c r="X351" s="8"/>
      <c r="Y351" s="8"/>
      <c r="Z351" s="8"/>
    </row>
    <row r="352" spans="1:26" s="9" customFormat="1" ht="15.75">
      <c r="A352" s="37" t="s">
        <v>20</v>
      </c>
      <c r="B352" s="129">
        <f t="shared" ref="B352:J352" si="138">IF(B47=0,"",B47/SUM(B337+B302))</f>
        <v>8.7222222222222214</v>
      </c>
      <c r="C352" s="129">
        <f t="shared" si="138"/>
        <v>6.583333333333333</v>
      </c>
      <c r="D352" s="129">
        <f t="shared" si="138"/>
        <v>19.583333333333332</v>
      </c>
      <c r="E352" s="129">
        <f t="shared" si="138"/>
        <v>9.4347826086956523</v>
      </c>
      <c r="F352" s="129">
        <f t="shared" si="138"/>
        <v>9</v>
      </c>
      <c r="G352" s="129">
        <f t="shared" si="138"/>
        <v>8.65</v>
      </c>
      <c r="H352" s="129">
        <f t="shared" si="138"/>
        <v>5.875</v>
      </c>
      <c r="I352" s="129">
        <f t="shared" si="138"/>
        <v>5.78125</v>
      </c>
      <c r="J352" s="129">
        <f t="shared" si="138"/>
        <v>5.7931034482758621</v>
      </c>
      <c r="K352" s="129">
        <f t="shared" ref="K352:L352" si="139">IF(K47=0,"",K47/SUM(K337+K302))</f>
        <v>11.833333333333334</v>
      </c>
      <c r="L352" s="129">
        <f t="shared" si="139"/>
        <v>7</v>
      </c>
      <c r="M352" s="129">
        <f t="shared" ref="M352" si="140">IF(M47=0,"",M47/SUM(M337+M302))</f>
        <v>6.7058823529411766</v>
      </c>
      <c r="N352" s="133">
        <f>SUM(B352:M352)</f>
        <v>104.96224063213491</v>
      </c>
      <c r="O352" s="19">
        <f>IF(N352=0,0,AVERAGE(B352:M352))</f>
        <v>8.7468533860112423</v>
      </c>
      <c r="P352" s="8"/>
      <c r="Q352" s="8"/>
      <c r="R352" s="8"/>
      <c r="S352" s="8"/>
      <c r="T352" s="8"/>
      <c r="U352" s="8"/>
      <c r="V352" s="8"/>
      <c r="W352" s="8"/>
      <c r="X352" s="8"/>
      <c r="Y352" s="8"/>
      <c r="Z352" s="8"/>
    </row>
    <row r="353" spans="1:26" s="9" customFormat="1" ht="15.75">
      <c r="A353" s="20" t="s">
        <v>0</v>
      </c>
      <c r="B353" s="22">
        <f t="shared" ref="B353:J353" si="141">IF(B48=0,"",B48/SUM(B338+B303))</f>
        <v>6.2171945701357467</v>
      </c>
      <c r="C353" s="22">
        <f t="shared" si="141"/>
        <v>5.7883817427385891</v>
      </c>
      <c r="D353" s="22">
        <f t="shared" si="141"/>
        <v>6.0627802690582957</v>
      </c>
      <c r="E353" s="22">
        <f t="shared" si="141"/>
        <v>6.6508875739644973</v>
      </c>
      <c r="F353" s="22">
        <f t="shared" si="141"/>
        <v>6.0040816326530608</v>
      </c>
      <c r="G353" s="22">
        <f t="shared" si="141"/>
        <v>5.419354838709677</v>
      </c>
      <c r="H353" s="22">
        <f t="shared" si="141"/>
        <v>4.975352112676056</v>
      </c>
      <c r="I353" s="22">
        <f t="shared" si="141"/>
        <v>5.166666666666667</v>
      </c>
      <c r="J353" s="22">
        <f t="shared" si="141"/>
        <v>5.0404411764705879</v>
      </c>
      <c r="K353" s="22">
        <f t="shared" ref="K353:L353" si="142">IF(K48=0,"",K48/SUM(K338+K303))</f>
        <v>5.8814229249011856</v>
      </c>
      <c r="L353" s="22">
        <f t="shared" si="142"/>
        <v>5.8555133079847907</v>
      </c>
      <c r="M353" s="22">
        <f t="shared" ref="M353" si="143">IF(M48=0,"",M48/SUM(M338+M303))</f>
        <v>5.2847222222222223</v>
      </c>
      <c r="N353" s="128">
        <f>SUM(B353:M353)</f>
        <v>68.346799038181388</v>
      </c>
      <c r="O353" s="22">
        <f>IF(N353=0,0,AVERAGE(B353:M353))</f>
        <v>5.6955665865151159</v>
      </c>
      <c r="P353" s="10"/>
      <c r="Q353" s="10"/>
      <c r="R353" s="10"/>
      <c r="S353" s="10"/>
      <c r="T353" s="10"/>
      <c r="U353" s="10"/>
      <c r="V353" s="10"/>
      <c r="W353" s="10"/>
      <c r="X353" s="10"/>
      <c r="Y353" s="10"/>
      <c r="Z353" s="10"/>
    </row>
    <row r="354" spans="1:26" s="9" customFormat="1">
      <c r="A354" s="23"/>
      <c r="B354" s="24"/>
      <c r="C354" s="24"/>
      <c r="D354" s="24"/>
      <c r="E354" s="24"/>
      <c r="F354" s="24"/>
      <c r="G354" s="24"/>
      <c r="H354" s="24"/>
      <c r="I354" s="24"/>
      <c r="J354" s="24"/>
      <c r="K354" s="24"/>
      <c r="L354" s="24"/>
      <c r="M354" s="24"/>
      <c r="N354" s="134"/>
      <c r="O354" s="13"/>
      <c r="P354" s="8"/>
      <c r="Q354" s="8"/>
      <c r="R354" s="8"/>
      <c r="S354" s="8"/>
      <c r="T354" s="8"/>
      <c r="U354" s="8"/>
      <c r="V354" s="8"/>
      <c r="W354" s="8"/>
      <c r="X354" s="8"/>
      <c r="Y354" s="8"/>
      <c r="Z354" s="8"/>
    </row>
    <row r="355" spans="1:26" s="9" customFormat="1" ht="15.75">
      <c r="A355" s="20" t="s">
        <v>0</v>
      </c>
      <c r="B355" s="169">
        <f t="shared" ref="B355:C355" si="144">B353</f>
        <v>6.2171945701357467</v>
      </c>
      <c r="C355" s="169">
        <f t="shared" si="144"/>
        <v>5.7883817427385891</v>
      </c>
      <c r="D355" s="169">
        <f t="shared" ref="D355:E355" si="145">D353</f>
        <v>6.0627802690582957</v>
      </c>
      <c r="E355" s="169">
        <f t="shared" si="145"/>
        <v>6.6508875739644973</v>
      </c>
      <c r="F355" s="169">
        <f t="shared" ref="F355:G355" si="146">F353</f>
        <v>6.0040816326530608</v>
      </c>
      <c r="G355" s="169">
        <f t="shared" si="146"/>
        <v>5.419354838709677</v>
      </c>
      <c r="H355" s="169">
        <f t="shared" ref="H355:I355" si="147">H353</f>
        <v>4.975352112676056</v>
      </c>
      <c r="I355" s="169">
        <f t="shared" si="147"/>
        <v>5.166666666666667</v>
      </c>
      <c r="J355" s="169">
        <f t="shared" ref="J355:K355" si="148">J353</f>
        <v>5.0404411764705879</v>
      </c>
      <c r="K355" s="169">
        <f t="shared" si="148"/>
        <v>5.8814229249011856</v>
      </c>
      <c r="L355" s="169">
        <f t="shared" ref="L355:M355" si="149">L353</f>
        <v>5.8555133079847907</v>
      </c>
      <c r="M355" s="169">
        <f t="shared" si="149"/>
        <v>5.2847222222222223</v>
      </c>
      <c r="N355" s="128">
        <f>SUM(B355:M355)</f>
        <v>68.346799038181388</v>
      </c>
      <c r="O355" s="22">
        <f>IF(N355=0,0,AVERAGE(B355:M355))</f>
        <v>5.6955665865151159</v>
      </c>
      <c r="P355" s="8"/>
      <c r="Q355" s="8"/>
      <c r="R355" s="8"/>
      <c r="S355" s="8"/>
      <c r="T355" s="8"/>
      <c r="U355" s="8"/>
      <c r="V355" s="8"/>
      <c r="W355" s="8"/>
      <c r="X355" s="8"/>
      <c r="Y355" s="8"/>
      <c r="Z355" s="8"/>
    </row>
    <row r="356" spans="1:26" s="9" customFormat="1">
      <c r="A356" s="23"/>
      <c r="B356" s="24"/>
      <c r="C356" s="24"/>
      <c r="D356" s="24"/>
      <c r="E356" s="25"/>
      <c r="F356" s="25"/>
      <c r="G356" s="25"/>
      <c r="H356" s="25"/>
      <c r="I356" s="25"/>
      <c r="J356" s="25"/>
      <c r="K356" s="25"/>
      <c r="L356" s="25"/>
      <c r="M356" s="25"/>
      <c r="N356" s="134"/>
      <c r="O356" s="13"/>
      <c r="P356" s="8"/>
      <c r="Q356" s="8"/>
      <c r="R356" s="8"/>
      <c r="S356" s="8"/>
      <c r="T356" s="8"/>
      <c r="U356" s="8"/>
      <c r="V356" s="8"/>
      <c r="W356" s="8"/>
      <c r="X356" s="8"/>
      <c r="Y356" s="8"/>
      <c r="Z356" s="8"/>
    </row>
    <row r="357" spans="1:26" s="9" customFormat="1" ht="15.75">
      <c r="A357" s="14" t="s">
        <v>79</v>
      </c>
      <c r="B357" s="15"/>
      <c r="C357" s="15"/>
      <c r="D357" s="15"/>
      <c r="E357" s="15"/>
      <c r="F357" s="15"/>
      <c r="G357" s="15"/>
      <c r="H357" s="15"/>
      <c r="I357" s="15"/>
      <c r="J357" s="15"/>
      <c r="K357" s="15"/>
      <c r="L357" s="15"/>
      <c r="M357" s="15"/>
      <c r="N357" s="132"/>
      <c r="O357" s="16"/>
      <c r="P357" s="8"/>
      <c r="Q357" s="8"/>
      <c r="R357" s="8"/>
      <c r="S357" s="8"/>
      <c r="T357" s="8"/>
      <c r="U357" s="8"/>
      <c r="V357" s="8"/>
      <c r="W357" s="8"/>
      <c r="X357" s="8"/>
      <c r="Y357" s="8"/>
      <c r="Z357" s="8"/>
    </row>
    <row r="358" spans="1:26" s="9" customFormat="1" ht="15.75">
      <c r="A358" s="37" t="s">
        <v>18</v>
      </c>
      <c r="B358" s="129">
        <f t="shared" ref="B358:J358" si="150">IF(B9=0,"",(B335+B306)/B9)</f>
        <v>4.45</v>
      </c>
      <c r="C358" s="129">
        <f t="shared" si="150"/>
        <v>4.5750000000000002</v>
      </c>
      <c r="D358" s="129">
        <f t="shared" si="150"/>
        <v>3.4249999999999998</v>
      </c>
      <c r="E358" s="129">
        <f t="shared" si="150"/>
        <v>0.17499999999999999</v>
      </c>
      <c r="F358" s="129">
        <f t="shared" si="150"/>
        <v>4.375</v>
      </c>
      <c r="G358" s="129">
        <f t="shared" si="150"/>
        <v>4.6749999999999998</v>
      </c>
      <c r="H358" s="129">
        <f t="shared" si="150"/>
        <v>4.875</v>
      </c>
      <c r="I358" s="129">
        <f t="shared" si="150"/>
        <v>4.9249999999999998</v>
      </c>
      <c r="J358" s="129">
        <f t="shared" si="150"/>
        <v>4.7249999999999996</v>
      </c>
      <c r="K358" s="129">
        <f t="shared" ref="K358:L358" si="151">IF(K9=0,"",(K335+K306)/K9)</f>
        <v>4.875</v>
      </c>
      <c r="L358" s="129">
        <f t="shared" si="151"/>
        <v>4.55</v>
      </c>
      <c r="M358" s="129">
        <f t="shared" ref="M358" si="152">IF(M9=0,"",(M335+M306)/M9)</f>
        <v>5.05</v>
      </c>
      <c r="N358" s="133">
        <f>SUM(B358:M358)</f>
        <v>50.674999999999997</v>
      </c>
      <c r="O358" s="19">
        <f>IF(N358=0,0,AVERAGE(B358:M358))</f>
        <v>4.2229166666666664</v>
      </c>
      <c r="P358" s="8"/>
      <c r="Q358" s="8"/>
      <c r="R358" s="8"/>
      <c r="S358" s="8"/>
      <c r="T358" s="8"/>
      <c r="U358" s="8"/>
      <c r="V358" s="8"/>
      <c r="W358" s="8"/>
      <c r="X358" s="8"/>
      <c r="Y358" s="8"/>
      <c r="Z358" s="8"/>
    </row>
    <row r="359" spans="1:26" s="9" customFormat="1" ht="15.75">
      <c r="A359" s="37" t="s">
        <v>19</v>
      </c>
      <c r="B359" s="129">
        <f t="shared" ref="B359:J359" si="153">IF(B10=0,"",(B336+B307)/B10)</f>
        <v>0.75</v>
      </c>
      <c r="C359" s="129">
        <f t="shared" si="153"/>
        <v>1.1000000000000001</v>
      </c>
      <c r="D359" s="129">
        <f t="shared" si="153"/>
        <v>1.2</v>
      </c>
      <c r="E359" s="129">
        <f t="shared" si="153"/>
        <v>5.25</v>
      </c>
      <c r="F359" s="129">
        <f t="shared" si="153"/>
        <v>1.5</v>
      </c>
      <c r="G359" s="129">
        <f t="shared" si="153"/>
        <v>1.3</v>
      </c>
      <c r="H359" s="129">
        <f t="shared" si="153"/>
        <v>2.1</v>
      </c>
      <c r="I359" s="129">
        <f t="shared" si="153"/>
        <v>1.35</v>
      </c>
      <c r="J359" s="129">
        <f t="shared" si="153"/>
        <v>1.65</v>
      </c>
      <c r="K359" s="129">
        <f t="shared" ref="K359:L359" si="154">IF(K10=0,"",(K336+K307)/K10)</f>
        <v>1.25</v>
      </c>
      <c r="L359" s="129">
        <f t="shared" si="154"/>
        <v>1.6</v>
      </c>
      <c r="M359" s="129">
        <f t="shared" ref="M359" si="155">IF(M10=0,"",(M336+M307)/M10)</f>
        <v>1.65</v>
      </c>
      <c r="N359" s="133">
        <f>SUM(B359:M359)</f>
        <v>20.7</v>
      </c>
      <c r="O359" s="19">
        <f>IF(N359=0,0,AVERAGE(B359:M359))</f>
        <v>1.7249999999999999</v>
      </c>
      <c r="P359" s="8"/>
      <c r="Q359" s="8"/>
      <c r="R359" s="8"/>
      <c r="S359" s="8"/>
      <c r="T359" s="8"/>
      <c r="U359" s="8"/>
      <c r="V359" s="8"/>
      <c r="W359" s="8"/>
      <c r="X359" s="8"/>
      <c r="Y359" s="8"/>
      <c r="Z359" s="8"/>
    </row>
    <row r="360" spans="1:26" s="9" customFormat="1" ht="15.75">
      <c r="A360" s="37" t="s">
        <v>20</v>
      </c>
      <c r="B360" s="129">
        <f t="shared" ref="B360:J360" si="156">IF(B11=0,"",(B337+B308)/B11)</f>
        <v>0.4</v>
      </c>
      <c r="C360" s="129">
        <f t="shared" si="156"/>
        <v>0.9</v>
      </c>
      <c r="D360" s="129">
        <f t="shared" si="156"/>
        <v>1.1000000000000001</v>
      </c>
      <c r="E360" s="129">
        <f t="shared" si="156"/>
        <v>1.9</v>
      </c>
      <c r="F360" s="129">
        <f t="shared" si="156"/>
        <v>0.5</v>
      </c>
      <c r="G360" s="129">
        <f t="shared" si="156"/>
        <v>0.7</v>
      </c>
      <c r="H360" s="129">
        <f t="shared" si="156"/>
        <v>1.1000000000000001</v>
      </c>
      <c r="I360" s="129">
        <f t="shared" si="156"/>
        <v>1.3</v>
      </c>
      <c r="J360" s="129">
        <f t="shared" si="156"/>
        <v>0.8</v>
      </c>
      <c r="K360" s="129">
        <f t="shared" ref="K360:L360" si="157">IF(K11=0,"",(K337+K308)/K11)</f>
        <v>1.1000000000000001</v>
      </c>
      <c r="L360" s="129">
        <f t="shared" si="157"/>
        <v>1.5</v>
      </c>
      <c r="M360" s="129">
        <f t="shared" ref="M360" si="158">IF(M11=0,"",(M337+M308)/M11)</f>
        <v>1.6</v>
      </c>
      <c r="N360" s="133">
        <f>SUM(B360:M360)</f>
        <v>12.9</v>
      </c>
      <c r="O360" s="19">
        <f>IF(N360=0,0,AVERAGE(B360:M360))</f>
        <v>1.075</v>
      </c>
      <c r="P360" s="10"/>
      <c r="Q360" s="10"/>
      <c r="R360" s="10"/>
      <c r="S360" s="10"/>
      <c r="T360" s="10"/>
      <c r="U360" s="10"/>
      <c r="V360" s="10"/>
      <c r="W360" s="10"/>
      <c r="X360" s="10"/>
      <c r="Y360" s="10"/>
      <c r="Z360" s="10"/>
    </row>
    <row r="361" spans="1:26" s="9" customFormat="1" ht="15.75">
      <c r="A361" s="20" t="s">
        <v>80</v>
      </c>
      <c r="B361" s="22">
        <f t="shared" ref="B361:I361" si="159">IF(B12="","",(B338/B12))</f>
        <v>2.7857142857142856</v>
      </c>
      <c r="C361" s="22">
        <f t="shared" si="159"/>
        <v>3.0142857142857142</v>
      </c>
      <c r="D361" s="22">
        <f t="shared" si="159"/>
        <v>2.3857142857142857</v>
      </c>
      <c r="E361" s="22">
        <f t="shared" si="159"/>
        <v>1.8428571428571427</v>
      </c>
      <c r="F361" s="22">
        <f t="shared" si="159"/>
        <v>2.9857142857142858</v>
      </c>
      <c r="G361" s="22">
        <f t="shared" si="159"/>
        <v>3.1428571428571428</v>
      </c>
      <c r="H361" s="22">
        <f t="shared" si="159"/>
        <v>3.5142857142857142</v>
      </c>
      <c r="I361" s="22">
        <f t="shared" si="159"/>
        <v>3.342857142857143</v>
      </c>
      <c r="J361" s="22">
        <f t="shared" ref="J361:K361" si="160">IF(J12="","",(J338/J12))</f>
        <v>3.2714285714285714</v>
      </c>
      <c r="K361" s="22">
        <f t="shared" si="160"/>
        <v>3.2857142857142856</v>
      </c>
      <c r="L361" s="22">
        <f t="shared" ref="L361:M361" si="161">IF(L12="","",(L338/L12))</f>
        <v>3.2</v>
      </c>
      <c r="M361" s="22">
        <f t="shared" si="161"/>
        <v>3.4857142857142858</v>
      </c>
      <c r="N361" s="128">
        <f>SUM(N358:N360)</f>
        <v>84.275000000000006</v>
      </c>
      <c r="O361" s="22">
        <f>IF(N361=0,0,AVERAGE(B361:M361))</f>
        <v>3.0214285714285718</v>
      </c>
      <c r="P361" s="8"/>
      <c r="Q361" s="8"/>
      <c r="R361" s="8"/>
      <c r="S361" s="8"/>
      <c r="T361" s="8"/>
      <c r="U361" s="8"/>
      <c r="V361" s="8"/>
      <c r="W361" s="8"/>
      <c r="X361" s="8"/>
      <c r="Y361" s="8"/>
      <c r="Z361" s="8"/>
    </row>
    <row r="362" spans="1:26" s="9" customFormat="1" ht="15.75">
      <c r="A362" s="23"/>
      <c r="B362" s="24"/>
      <c r="C362" s="24"/>
      <c r="D362" s="24"/>
      <c r="E362" s="24"/>
      <c r="F362" s="25"/>
      <c r="G362" s="25"/>
      <c r="H362" s="25"/>
      <c r="I362" s="25"/>
      <c r="J362" s="25"/>
      <c r="K362" s="25"/>
      <c r="L362" s="25"/>
      <c r="M362" s="25"/>
      <c r="N362" s="134"/>
      <c r="O362" s="54"/>
      <c r="P362" s="10"/>
      <c r="Q362" s="10"/>
      <c r="R362" s="10"/>
      <c r="S362" s="10"/>
      <c r="T362" s="10"/>
      <c r="U362" s="10"/>
      <c r="V362" s="10"/>
      <c r="W362" s="10"/>
      <c r="X362" s="10"/>
      <c r="Y362" s="10"/>
      <c r="Z362" s="10"/>
    </row>
    <row r="363" spans="1:26" s="9" customFormat="1" ht="15.75">
      <c r="A363" s="14" t="s">
        <v>81</v>
      </c>
      <c r="B363" s="15"/>
      <c r="C363" s="15"/>
      <c r="D363" s="15"/>
      <c r="E363" s="15"/>
      <c r="F363" s="15"/>
      <c r="G363" s="15"/>
      <c r="H363" s="15"/>
      <c r="I363" s="15"/>
      <c r="J363" s="15"/>
      <c r="K363" s="15"/>
      <c r="L363" s="15"/>
      <c r="M363" s="15"/>
      <c r="N363" s="132"/>
      <c r="O363" s="16"/>
      <c r="P363" s="8"/>
      <c r="Q363" s="8"/>
      <c r="R363" s="8"/>
      <c r="S363" s="8"/>
      <c r="T363" s="8"/>
      <c r="U363" s="8"/>
      <c r="V363" s="8"/>
      <c r="W363" s="8"/>
      <c r="X363" s="8"/>
      <c r="Y363" s="8"/>
      <c r="Z363" s="8"/>
    </row>
    <row r="364" spans="1:26" s="9" customFormat="1" ht="15.75">
      <c r="A364" s="37" t="s">
        <v>18</v>
      </c>
      <c r="B364" s="170">
        <f t="shared" ref="B364:C366" si="162">IF(B335=0,0,(B272/SUM(B335,B306+B300)))</f>
        <v>0</v>
      </c>
      <c r="C364" s="170">
        <f t="shared" si="162"/>
        <v>0</v>
      </c>
      <c r="D364" s="170">
        <f t="shared" ref="D364:E364" si="163">IF(D335=0,0,(D272/SUM(D335,D306+D300)))</f>
        <v>5.4054054054054057E-3</v>
      </c>
      <c r="E364" s="170">
        <f t="shared" si="163"/>
        <v>0</v>
      </c>
      <c r="F364" s="170">
        <f t="shared" ref="F364:G364" si="164">IF(F335=0,0,(F272/SUM(F335,F306+F300)))</f>
        <v>0</v>
      </c>
      <c r="G364" s="170">
        <f t="shared" si="164"/>
        <v>1.015228426395939E-2</v>
      </c>
      <c r="H364" s="170">
        <f t="shared" ref="H364:I364" si="165">IF(H335=0,0,(H272/SUM(H335,H306+H300)))</f>
        <v>4.807692307692308E-3</v>
      </c>
      <c r="I364" s="170">
        <f t="shared" si="165"/>
        <v>0</v>
      </c>
      <c r="J364" s="170">
        <f t="shared" ref="J364:K364" si="166">IF(J335=0,0,(J272/SUM(J335,J306+J300)))</f>
        <v>0</v>
      </c>
      <c r="K364" s="170">
        <f t="shared" si="166"/>
        <v>4.8780487804878049E-3</v>
      </c>
      <c r="L364" s="170">
        <f t="shared" ref="L364:M364" si="167">IF(L335=0,0,(L272/SUM(L335,L306+L300)))</f>
        <v>5.076142131979695E-3</v>
      </c>
      <c r="M364" s="170">
        <f t="shared" si="167"/>
        <v>0</v>
      </c>
      <c r="N364" s="193">
        <f>SUM(B364:M364)</f>
        <v>3.0319572889524603E-2</v>
      </c>
      <c r="O364" s="193">
        <f>IF(O335=0,0,(O272/SUM(O335,O306)))</f>
        <v>2.9600394671928962E-3</v>
      </c>
      <c r="P364" s="10"/>
      <c r="Q364" s="10"/>
      <c r="R364" s="10"/>
      <c r="S364" s="10"/>
      <c r="T364" s="10"/>
      <c r="U364" s="10"/>
      <c r="V364" s="10"/>
      <c r="W364" s="10"/>
      <c r="X364" s="10"/>
      <c r="Y364" s="10"/>
      <c r="Z364" s="10"/>
    </row>
    <row r="365" spans="1:26" s="9" customFormat="1" ht="15.75">
      <c r="A365" s="37" t="s">
        <v>19</v>
      </c>
      <c r="B365" s="170">
        <f t="shared" si="162"/>
        <v>6.25E-2</v>
      </c>
      <c r="C365" s="170">
        <f t="shared" si="162"/>
        <v>0.31034482758620691</v>
      </c>
      <c r="D365" s="170">
        <f t="shared" ref="D365:E365" si="168">IF(D336=0,0,(D273/SUM(D336,D307+D301)))</f>
        <v>9.6774193548387094E-2</v>
      </c>
      <c r="E365" s="170">
        <f t="shared" si="168"/>
        <v>2.1276595744680851E-2</v>
      </c>
      <c r="F365" s="170">
        <f t="shared" ref="F365:G365" si="169">IF(F336=0,0,(F273/SUM(F336,F307+F301)))</f>
        <v>8.1081081081081086E-2</v>
      </c>
      <c r="G365" s="170">
        <f t="shared" si="169"/>
        <v>6.4516129032258063E-2</v>
      </c>
      <c r="H365" s="170">
        <f t="shared" ref="H365:I365" si="170">IF(H336=0,0,(H273/SUM(H336,H307+H301)))</f>
        <v>4.3478260869565216E-2</v>
      </c>
      <c r="I365" s="170">
        <f t="shared" si="170"/>
        <v>6.8965517241379309E-2</v>
      </c>
      <c r="J365" s="170">
        <f t="shared" ref="J365:K365" si="171">IF(J336=0,0,(J273/SUM(J336,J307+J301)))</f>
        <v>7.1428571428571425E-2</v>
      </c>
      <c r="K365" s="170">
        <f t="shared" si="171"/>
        <v>0</v>
      </c>
      <c r="L365" s="170">
        <f t="shared" ref="L365:M365" si="172">IF(L336=0,0,(L273/SUM(L336,L307+L301)))</f>
        <v>0</v>
      </c>
      <c r="M365" s="170">
        <f t="shared" si="172"/>
        <v>4.2553191489361701E-2</v>
      </c>
      <c r="N365" s="193">
        <f>SUM(B365:M365)</f>
        <v>0.86291836802149158</v>
      </c>
      <c r="O365" s="193">
        <f>IF(O336=0,0,(O273/SUM(O336,O307)))</f>
        <v>7.2463768115942032E-2</v>
      </c>
      <c r="P365" s="10"/>
      <c r="Q365" s="10"/>
      <c r="R365" s="10"/>
      <c r="S365" s="10"/>
      <c r="T365" s="10"/>
      <c r="U365" s="10"/>
      <c r="V365" s="10"/>
      <c r="W365" s="10"/>
      <c r="X365" s="10"/>
      <c r="Y365" s="10"/>
      <c r="Z365" s="10"/>
    </row>
    <row r="366" spans="1:26" s="9" customFormat="1" ht="15.75">
      <c r="A366" s="37" t="s">
        <v>20</v>
      </c>
      <c r="B366" s="170">
        <f t="shared" si="162"/>
        <v>0.22222222222222221</v>
      </c>
      <c r="C366" s="170">
        <f t="shared" si="162"/>
        <v>8.3333333333333329E-2</v>
      </c>
      <c r="D366" s="170">
        <f t="shared" ref="D366:E366" si="173">IF(D337=0,0,(D274/SUM(D337,D308+D302)))</f>
        <v>0.83333333333333337</v>
      </c>
      <c r="E366" s="170">
        <f t="shared" si="173"/>
        <v>0.82608695652173914</v>
      </c>
      <c r="F366" s="170">
        <f t="shared" ref="F366:G366" si="174">IF(F337=0,0,(F274/SUM(F337,F308+F302)))</f>
        <v>0.23809523809523808</v>
      </c>
      <c r="G366" s="170">
        <f t="shared" si="174"/>
        <v>0.35</v>
      </c>
      <c r="H366" s="170">
        <f t="shared" ref="H366:I366" si="175">IF(H337=0,0,(H274/SUM(H337,H308+H302)))</f>
        <v>0.34375</v>
      </c>
      <c r="I366" s="170">
        <f t="shared" si="175"/>
        <v>0.33333333333333331</v>
      </c>
      <c r="J366" s="170">
        <f t="shared" ref="J366:K366" si="176">IF(J337=0,0,(J274/SUM(J337,J308+J302)))</f>
        <v>0.27586206896551724</v>
      </c>
      <c r="K366" s="170">
        <f t="shared" si="176"/>
        <v>0.61111111111111116</v>
      </c>
      <c r="L366" s="170">
        <f t="shared" ref="L366:M366" si="177">IF(L337=0,0,(L274/SUM(L337,L308+L302)))</f>
        <v>0.41935483870967744</v>
      </c>
      <c r="M366" s="170">
        <f t="shared" si="177"/>
        <v>0.33333333333333331</v>
      </c>
      <c r="N366" s="193">
        <f>SUM(B366:M366)</f>
        <v>4.8698157689588388</v>
      </c>
      <c r="O366" s="193">
        <f>IF(O337=0,0,(O274/SUM(O337,O308)))</f>
        <v>0.87596899224806191</v>
      </c>
      <c r="P366" s="10"/>
      <c r="Q366" s="10"/>
      <c r="R366" s="10"/>
      <c r="S366" s="10"/>
      <c r="T366" s="10"/>
      <c r="U366" s="10"/>
      <c r="V366" s="10"/>
      <c r="W366" s="10"/>
      <c r="X366" s="10"/>
      <c r="Y366" s="10"/>
      <c r="Z366" s="10"/>
    </row>
    <row r="367" spans="1:26" s="9" customFormat="1" ht="15.75">
      <c r="A367" s="240" t="s">
        <v>82</v>
      </c>
      <c r="B367" s="239">
        <f t="shared" ref="B367:G367" si="178">IF(B338="","",(B275/B338))</f>
        <v>2.564102564102564E-2</v>
      </c>
      <c r="C367" s="239">
        <f t="shared" si="178"/>
        <v>5.2132701421800945E-2</v>
      </c>
      <c r="D367" s="239">
        <f t="shared" si="178"/>
        <v>8.3832335329341312E-2</v>
      </c>
      <c r="E367" s="239">
        <f t="shared" si="178"/>
        <v>0.17054263565891473</v>
      </c>
      <c r="F367" s="239">
        <f t="shared" si="178"/>
        <v>3.8277511961722487E-2</v>
      </c>
      <c r="G367" s="239">
        <f t="shared" si="178"/>
        <v>0.05</v>
      </c>
      <c r="H367" s="239">
        <f t="shared" ref="H367:I367" si="179">IF(H338="","",(H275/H338))</f>
        <v>5.6910569105691054E-2</v>
      </c>
      <c r="I367" s="239">
        <f t="shared" si="179"/>
        <v>5.5555555555555552E-2</v>
      </c>
      <c r="J367" s="239">
        <f t="shared" ref="J367:K367" si="180">IF(J338="","",(J275/J338))</f>
        <v>4.8034934497816595E-2</v>
      </c>
      <c r="K367" s="239">
        <f t="shared" si="180"/>
        <v>5.2173913043478258E-2</v>
      </c>
      <c r="L367" s="239">
        <f t="shared" ref="L367:M367" si="181">IF(L338="","",(L275/L338))</f>
        <v>6.25E-2</v>
      </c>
      <c r="M367" s="239">
        <f t="shared" si="181"/>
        <v>5.737704918032787E-2</v>
      </c>
      <c r="N367" s="239">
        <f>SUM(N364:N366)</f>
        <v>5.7630537098698547</v>
      </c>
      <c r="O367" s="239">
        <f>IF(N367=0,0,AVERAGE(B367:M367))</f>
        <v>6.2748185949639532E-2</v>
      </c>
      <c r="P367" s="10"/>
      <c r="Q367" s="10"/>
      <c r="R367" s="10"/>
      <c r="S367" s="10"/>
      <c r="T367" s="10"/>
      <c r="U367" s="10"/>
      <c r="V367" s="10"/>
      <c r="W367" s="10"/>
      <c r="X367" s="10"/>
      <c r="Y367" s="10"/>
      <c r="Z367" s="10"/>
    </row>
    <row r="368" spans="1:26" s="9" customFormat="1" ht="15.75">
      <c r="A368" s="23"/>
      <c r="B368" s="24"/>
      <c r="C368" s="24"/>
      <c r="D368" s="24"/>
      <c r="E368" s="24"/>
      <c r="F368" s="24"/>
      <c r="G368" s="24"/>
      <c r="H368" s="24"/>
      <c r="I368" s="24"/>
      <c r="J368" s="25"/>
      <c r="K368" s="25"/>
      <c r="L368" s="25"/>
      <c r="M368" s="25"/>
      <c r="N368" s="134"/>
      <c r="O368" s="54"/>
      <c r="P368" s="10"/>
      <c r="Q368" s="10"/>
      <c r="R368" s="10"/>
      <c r="S368" s="10"/>
      <c r="T368" s="10"/>
      <c r="U368" s="10"/>
      <c r="V368" s="10"/>
      <c r="W368" s="10"/>
      <c r="X368" s="10"/>
      <c r="Y368" s="10"/>
      <c r="Z368" s="10"/>
    </row>
    <row r="369" spans="1:26" s="9" customFormat="1" ht="15.75">
      <c r="A369" s="14" t="s">
        <v>83</v>
      </c>
      <c r="B369" s="15"/>
      <c r="C369" s="15"/>
      <c r="D369" s="15"/>
      <c r="E369" s="15"/>
      <c r="F369" s="15"/>
      <c r="G369" s="15"/>
      <c r="H369" s="15"/>
      <c r="I369" s="15"/>
      <c r="J369" s="15"/>
      <c r="K369" s="15"/>
      <c r="L369" s="15"/>
      <c r="M369" s="15"/>
      <c r="N369" s="132"/>
      <c r="O369" s="16"/>
      <c r="P369" s="8"/>
      <c r="Q369" s="8"/>
      <c r="R369" s="8"/>
      <c r="S369" s="8"/>
      <c r="T369" s="8"/>
      <c r="U369" s="8"/>
      <c r="V369" s="8"/>
      <c r="W369" s="8"/>
      <c r="X369" s="8"/>
      <c r="Y369" s="8"/>
      <c r="Z369" s="8"/>
    </row>
    <row r="370" spans="1:26" s="9" customFormat="1" ht="15.75">
      <c r="A370" s="34" t="s">
        <v>84</v>
      </c>
      <c r="B370" s="170">
        <f t="shared" ref="B370:G370" si="182">B287/B275</f>
        <v>1</v>
      </c>
      <c r="C370" s="170">
        <f t="shared" si="182"/>
        <v>0.90909090909090906</v>
      </c>
      <c r="D370" s="170">
        <f t="shared" si="182"/>
        <v>0.9285714285714286</v>
      </c>
      <c r="E370" s="170">
        <f t="shared" si="182"/>
        <v>1</v>
      </c>
      <c r="F370" s="170">
        <f t="shared" si="182"/>
        <v>1</v>
      </c>
      <c r="G370" s="170">
        <f t="shared" si="182"/>
        <v>1</v>
      </c>
      <c r="H370" s="170">
        <f t="shared" ref="H370:I370" si="183">H287/H275</f>
        <v>0.9285714285714286</v>
      </c>
      <c r="I370" s="170">
        <f t="shared" si="183"/>
        <v>1</v>
      </c>
      <c r="J370" s="170">
        <f t="shared" ref="J370:K370" si="184">J287/J275</f>
        <v>1</v>
      </c>
      <c r="K370" s="170">
        <f t="shared" si="184"/>
        <v>0.91666666666666663</v>
      </c>
      <c r="L370" s="170">
        <f t="shared" ref="L370:M370" si="185">L287/L275</f>
        <v>1</v>
      </c>
      <c r="M370" s="170">
        <f t="shared" si="185"/>
        <v>0.8571428571428571</v>
      </c>
      <c r="N370" s="193">
        <f>SUM(B370:M370)</f>
        <v>11.540043290043291</v>
      </c>
      <c r="O370" s="193">
        <f>IF(N370=0,0,AVERAGE(B370:M370))</f>
        <v>0.96167027417027429</v>
      </c>
      <c r="P370" s="8"/>
      <c r="Q370" s="8"/>
      <c r="R370" s="8"/>
      <c r="S370" s="8"/>
      <c r="T370" s="8"/>
      <c r="U370" s="8"/>
      <c r="V370" s="8"/>
      <c r="W370" s="8"/>
      <c r="X370" s="8"/>
      <c r="Y370" s="8"/>
      <c r="Z370" s="8"/>
    </row>
    <row r="371" spans="1:26" s="9" customFormat="1" ht="15.75">
      <c r="A371" s="34" t="s">
        <v>85</v>
      </c>
      <c r="B371" s="170">
        <f t="shared" ref="B371:G371" si="186">B281/B275</f>
        <v>0</v>
      </c>
      <c r="C371" s="170">
        <f t="shared" si="186"/>
        <v>9.0909090909090912E-2</v>
      </c>
      <c r="D371" s="170">
        <f t="shared" si="186"/>
        <v>7.1428571428571425E-2</v>
      </c>
      <c r="E371" s="170">
        <f t="shared" si="186"/>
        <v>0</v>
      </c>
      <c r="F371" s="170">
        <f t="shared" si="186"/>
        <v>0</v>
      </c>
      <c r="G371" s="170">
        <f t="shared" si="186"/>
        <v>0</v>
      </c>
      <c r="H371" s="170">
        <f t="shared" ref="H371:I371" si="187">H281/H275</f>
        <v>0</v>
      </c>
      <c r="I371" s="170">
        <f t="shared" si="187"/>
        <v>0</v>
      </c>
      <c r="J371" s="170">
        <f t="shared" ref="J371:K371" si="188">J281/J275</f>
        <v>0</v>
      </c>
      <c r="K371" s="170">
        <f t="shared" si="188"/>
        <v>8.3333333333333329E-2</v>
      </c>
      <c r="L371" s="170">
        <f t="shared" ref="L371:M371" si="189">L281/L275</f>
        <v>0</v>
      </c>
      <c r="M371" s="170">
        <f t="shared" si="189"/>
        <v>0.14285714285714285</v>
      </c>
      <c r="N371" s="193">
        <f>SUM(B371:M371)</f>
        <v>0.3885281385281385</v>
      </c>
      <c r="O371" s="193">
        <f>IF(N371=0,0,AVERAGE(B371:M371))</f>
        <v>3.2377344877344873E-2</v>
      </c>
      <c r="P371" s="10"/>
      <c r="Q371" s="10"/>
      <c r="R371" s="10"/>
      <c r="S371" s="10"/>
      <c r="T371" s="10"/>
      <c r="U371" s="10"/>
      <c r="V371" s="10"/>
      <c r="W371" s="10"/>
      <c r="X371" s="10"/>
      <c r="Y371" s="10"/>
      <c r="Z371" s="10"/>
    </row>
    <row r="372" spans="1:26" s="9" customFormat="1" ht="15.75">
      <c r="A372" s="34" t="s">
        <v>86</v>
      </c>
      <c r="B372" s="170">
        <v>0</v>
      </c>
      <c r="C372" s="170">
        <v>0</v>
      </c>
      <c r="D372" s="170">
        <v>0</v>
      </c>
      <c r="E372" s="170">
        <v>0</v>
      </c>
      <c r="F372" s="170">
        <v>0</v>
      </c>
      <c r="G372" s="170">
        <v>0</v>
      </c>
      <c r="H372" s="170">
        <v>0</v>
      </c>
      <c r="I372" s="170">
        <v>0</v>
      </c>
      <c r="J372" s="170">
        <v>0</v>
      </c>
      <c r="K372" s="170">
        <v>0</v>
      </c>
      <c r="L372" s="170">
        <v>0</v>
      </c>
      <c r="M372" s="170">
        <v>0</v>
      </c>
      <c r="N372" s="193">
        <f>SUM(B372:M372)</f>
        <v>0</v>
      </c>
      <c r="O372" s="193">
        <f>IF(N372=0,0,AVERAGE(B372:M372))</f>
        <v>0</v>
      </c>
      <c r="P372" s="10"/>
      <c r="Q372" s="10"/>
      <c r="R372" s="10"/>
      <c r="S372" s="10"/>
      <c r="T372" s="10"/>
      <c r="U372" s="10"/>
      <c r="V372" s="10"/>
      <c r="W372" s="10"/>
      <c r="X372" s="10"/>
      <c r="Y372" s="10"/>
      <c r="Z372" s="10"/>
    </row>
    <row r="373" spans="1:26" s="9" customFormat="1" ht="15.75">
      <c r="A373" s="20" t="s">
        <v>82</v>
      </c>
      <c r="B373" s="171">
        <f t="shared" ref="B373:C373" si="190">B367</f>
        <v>2.564102564102564E-2</v>
      </c>
      <c r="C373" s="171">
        <f t="shared" si="190"/>
        <v>5.2132701421800945E-2</v>
      </c>
      <c r="D373" s="171">
        <f t="shared" ref="D373:E373" si="191">D367</f>
        <v>8.3832335329341312E-2</v>
      </c>
      <c r="E373" s="171">
        <f t="shared" si="191"/>
        <v>0.17054263565891473</v>
      </c>
      <c r="F373" s="171">
        <f t="shared" ref="F373:G373" si="192">F367</f>
        <v>3.8277511961722487E-2</v>
      </c>
      <c r="G373" s="171">
        <f t="shared" si="192"/>
        <v>0.05</v>
      </c>
      <c r="H373" s="171">
        <f t="shared" ref="H373:I373" si="193">H367</f>
        <v>5.6910569105691054E-2</v>
      </c>
      <c r="I373" s="171">
        <f t="shared" si="193"/>
        <v>5.5555555555555552E-2</v>
      </c>
      <c r="J373" s="171">
        <f t="shared" ref="J373:K373" si="194">J367</f>
        <v>4.8034934497816595E-2</v>
      </c>
      <c r="K373" s="171">
        <f t="shared" si="194"/>
        <v>5.2173913043478258E-2</v>
      </c>
      <c r="L373" s="171">
        <f t="shared" ref="L373:M373" si="195">L367</f>
        <v>6.25E-2</v>
      </c>
      <c r="M373" s="171">
        <f t="shared" si="195"/>
        <v>5.737704918032787E-2</v>
      </c>
      <c r="N373" s="171">
        <f>SUM(B373:M373)</f>
        <v>0.75297823139567432</v>
      </c>
      <c r="O373" s="171">
        <f>IF(N373=0,0,AVERAGE(B373:M373))</f>
        <v>6.2748185949639532E-2</v>
      </c>
      <c r="P373" s="10"/>
      <c r="Q373" s="10"/>
      <c r="R373" s="10"/>
      <c r="S373" s="10"/>
      <c r="T373" s="10"/>
      <c r="U373" s="10"/>
      <c r="V373" s="10"/>
      <c r="W373" s="10"/>
      <c r="X373" s="10"/>
      <c r="Y373" s="10"/>
      <c r="Z373" s="10"/>
    </row>
    <row r="374" spans="1:26" s="9" customFormat="1">
      <c r="A374" s="23"/>
      <c r="B374" s="23"/>
      <c r="C374" s="23"/>
      <c r="D374" s="23"/>
      <c r="E374" s="23"/>
      <c r="F374" s="23"/>
      <c r="G374" s="23"/>
      <c r="H374" s="23"/>
      <c r="I374" s="23"/>
      <c r="J374" s="23"/>
      <c r="K374" s="23"/>
      <c r="L374" s="23"/>
      <c r="M374" s="23"/>
      <c r="N374" s="23"/>
      <c r="O374" s="23"/>
      <c r="P374" s="8"/>
      <c r="Q374" s="8"/>
      <c r="R374" s="8"/>
      <c r="S374" s="8"/>
      <c r="T374" s="8"/>
      <c r="U374" s="8"/>
      <c r="V374" s="8"/>
      <c r="W374" s="8"/>
      <c r="X374" s="8"/>
      <c r="Y374" s="8"/>
      <c r="Z374" s="8"/>
    </row>
    <row r="375" spans="1:26" s="9" customFormat="1" ht="15.75">
      <c r="A375" s="425" t="s">
        <v>87</v>
      </c>
      <c r="B375" s="426"/>
      <c r="C375" s="426"/>
      <c r="D375" s="426"/>
      <c r="E375" s="426"/>
      <c r="F375" s="426"/>
      <c r="G375" s="426"/>
      <c r="H375" s="426"/>
      <c r="I375" s="426"/>
      <c r="J375" s="426"/>
      <c r="K375" s="426"/>
      <c r="L375" s="426"/>
      <c r="M375" s="426"/>
      <c r="N375" s="427"/>
      <c r="O375" s="428"/>
      <c r="P375" s="10"/>
      <c r="Q375" s="10"/>
      <c r="R375" s="10"/>
      <c r="S375" s="10"/>
      <c r="T375" s="10"/>
      <c r="U375" s="10"/>
      <c r="V375" s="10"/>
      <c r="W375" s="10"/>
      <c r="X375" s="10"/>
      <c r="Y375" s="10"/>
      <c r="Z375" s="10"/>
    </row>
    <row r="376" spans="1:26" s="9" customFormat="1">
      <c r="A376" s="30"/>
      <c r="B376" s="30"/>
      <c r="C376" s="30"/>
      <c r="D376" s="30"/>
      <c r="E376" s="30"/>
      <c r="F376" s="30"/>
      <c r="G376" s="30"/>
      <c r="H376" s="30"/>
      <c r="I376" s="30"/>
      <c r="J376" s="30"/>
      <c r="K376" s="30"/>
      <c r="L376" s="30"/>
      <c r="M376" s="30"/>
      <c r="N376" s="30"/>
      <c r="O376" s="30"/>
      <c r="P376" s="8"/>
      <c r="Q376" s="8"/>
      <c r="R376" s="8"/>
      <c r="S376" s="8"/>
      <c r="T376" s="8"/>
      <c r="U376" s="8"/>
      <c r="V376" s="8"/>
      <c r="W376" s="8"/>
      <c r="X376" s="8"/>
      <c r="Y376" s="8"/>
      <c r="Z376" s="8"/>
    </row>
    <row r="377" spans="1:26" s="9" customFormat="1" ht="15.75">
      <c r="A377" s="165" t="s">
        <v>88</v>
      </c>
      <c r="B377" s="278"/>
      <c r="C377" s="278"/>
      <c r="D377" s="278"/>
      <c r="E377" s="278"/>
      <c r="F377" s="278"/>
      <c r="G377" s="278"/>
      <c r="H377" s="278"/>
      <c r="I377" s="278"/>
      <c r="J377" s="458"/>
      <c r="K377" s="458"/>
      <c r="L377" s="458"/>
      <c r="M377" s="458"/>
      <c r="N377" s="167"/>
      <c r="O377" s="168"/>
      <c r="P377" s="10"/>
      <c r="Q377" s="10"/>
      <c r="R377" s="10"/>
      <c r="S377" s="10"/>
      <c r="T377" s="10"/>
      <c r="U377" s="10"/>
      <c r="V377" s="10"/>
      <c r="W377" s="10"/>
      <c r="X377" s="10"/>
      <c r="Y377" s="10"/>
      <c r="Z377" s="10"/>
    </row>
    <row r="378" spans="1:26" s="9" customFormat="1" ht="15.75">
      <c r="A378" s="455" t="s">
        <v>89</v>
      </c>
      <c r="B378" s="456"/>
      <c r="C378" s="456"/>
      <c r="D378" s="456"/>
      <c r="E378" s="456"/>
      <c r="F378" s="456"/>
      <c r="G378" s="456"/>
      <c r="H378" s="456"/>
      <c r="I378" s="456"/>
      <c r="J378" s="456"/>
      <c r="K378" s="456"/>
      <c r="L378" s="456"/>
      <c r="M378" s="456"/>
      <c r="N378" s="456"/>
      <c r="O378" s="457"/>
      <c r="P378" s="8"/>
      <c r="Q378" s="8"/>
      <c r="R378" s="8"/>
      <c r="S378" s="8"/>
      <c r="T378" s="8"/>
      <c r="U378" s="8"/>
      <c r="V378" s="8"/>
      <c r="W378" s="8"/>
      <c r="X378" s="8"/>
      <c r="Y378" s="8"/>
      <c r="Z378" s="8"/>
    </row>
    <row r="379" spans="1:26" s="9" customFormat="1" ht="15.75">
      <c r="A379" s="50" t="s">
        <v>90</v>
      </c>
      <c r="B379" s="35">
        <v>10</v>
      </c>
      <c r="C379" s="35">
        <v>14</v>
      </c>
      <c r="D379" s="35">
        <v>4</v>
      </c>
      <c r="E379" s="35">
        <v>5</v>
      </c>
      <c r="F379" s="35">
        <v>33</v>
      </c>
      <c r="G379" s="35">
        <v>22</v>
      </c>
      <c r="H379" s="35">
        <v>12</v>
      </c>
      <c r="I379" s="35">
        <v>14</v>
      </c>
      <c r="J379" s="414">
        <v>9</v>
      </c>
      <c r="K379" s="35">
        <v>19</v>
      </c>
      <c r="L379" s="35">
        <v>26</v>
      </c>
      <c r="M379" s="35">
        <v>28</v>
      </c>
      <c r="N379" s="138">
        <f t="shared" ref="N379:N384" si="196">SUM(B379:M379)</f>
        <v>196</v>
      </c>
      <c r="O379" s="42">
        <f t="shared" ref="O379:O384" si="197">IF(N379=0,0,AVERAGE(B379:M379))</f>
        <v>16.333333333333332</v>
      </c>
      <c r="P379" s="10"/>
      <c r="Q379" s="10"/>
      <c r="R379" s="10"/>
      <c r="S379" s="10"/>
      <c r="T379" s="10"/>
      <c r="U379" s="10"/>
      <c r="V379" s="10"/>
      <c r="W379" s="10"/>
      <c r="X379" s="10"/>
      <c r="Y379" s="10"/>
      <c r="Z379" s="10"/>
    </row>
    <row r="380" spans="1:26" s="9" customFormat="1" ht="15.75">
      <c r="A380" s="50" t="s">
        <v>91</v>
      </c>
      <c r="B380" s="35">
        <v>162</v>
      </c>
      <c r="C380" s="35">
        <v>170</v>
      </c>
      <c r="D380" s="35">
        <v>99</v>
      </c>
      <c r="E380" s="35">
        <v>47</v>
      </c>
      <c r="F380" s="35">
        <v>148</v>
      </c>
      <c r="G380" s="35">
        <v>160</v>
      </c>
      <c r="H380" s="35">
        <v>174</v>
      </c>
      <c r="I380" s="35">
        <v>205</v>
      </c>
      <c r="J380" s="414">
        <v>213</v>
      </c>
      <c r="K380" s="35">
        <v>181</v>
      </c>
      <c r="L380" s="35">
        <v>179</v>
      </c>
      <c r="M380" s="35">
        <v>196</v>
      </c>
      <c r="N380" s="138">
        <f t="shared" si="196"/>
        <v>1934</v>
      </c>
      <c r="O380" s="42">
        <f t="shared" si="197"/>
        <v>161.16666666666666</v>
      </c>
      <c r="P380" s="8"/>
      <c r="Q380" s="8"/>
      <c r="R380" s="8"/>
      <c r="S380" s="8"/>
      <c r="T380" s="8"/>
      <c r="U380" s="8"/>
      <c r="V380" s="8"/>
      <c r="W380" s="8"/>
      <c r="X380" s="8"/>
      <c r="Y380" s="8"/>
      <c r="Z380" s="8"/>
    </row>
    <row r="381" spans="1:26" s="9" customFormat="1" ht="15.75">
      <c r="A381" s="50" t="s">
        <v>92</v>
      </c>
      <c r="B381" s="35">
        <v>56</v>
      </c>
      <c r="C381" s="35">
        <v>75</v>
      </c>
      <c r="D381" s="35">
        <v>31</v>
      </c>
      <c r="E381" s="35">
        <v>0</v>
      </c>
      <c r="F381" s="35">
        <v>31</v>
      </c>
      <c r="G381" s="35">
        <v>65</v>
      </c>
      <c r="H381" s="35">
        <v>76</v>
      </c>
      <c r="I381" s="35">
        <v>81</v>
      </c>
      <c r="J381" s="414">
        <v>59</v>
      </c>
      <c r="K381" s="35">
        <v>65</v>
      </c>
      <c r="L381" s="35">
        <v>61</v>
      </c>
      <c r="M381" s="35">
        <v>58</v>
      </c>
      <c r="N381" s="138">
        <f t="shared" si="196"/>
        <v>658</v>
      </c>
      <c r="O381" s="42">
        <f t="shared" si="197"/>
        <v>54.833333333333336</v>
      </c>
      <c r="P381" s="10"/>
      <c r="Q381" s="10"/>
      <c r="R381" s="10"/>
      <c r="S381" s="10"/>
      <c r="T381" s="10"/>
      <c r="U381" s="10"/>
      <c r="V381" s="10"/>
      <c r="W381" s="10"/>
      <c r="X381" s="10"/>
      <c r="Y381" s="10"/>
      <c r="Z381" s="10"/>
    </row>
    <row r="382" spans="1:26" s="9" customFormat="1" ht="15.75">
      <c r="A382" s="67" t="s">
        <v>21</v>
      </c>
      <c r="B382" s="44">
        <f t="shared" ref="B382:C382" si="198">SUM(B379:B381)</f>
        <v>228</v>
      </c>
      <c r="C382" s="44">
        <f t="shared" si="198"/>
        <v>259</v>
      </c>
      <c r="D382" s="44">
        <f t="shared" ref="D382:E382" si="199">SUM(D379:D381)</f>
        <v>134</v>
      </c>
      <c r="E382" s="44">
        <f t="shared" si="199"/>
        <v>52</v>
      </c>
      <c r="F382" s="44">
        <f t="shared" ref="F382:G382" si="200">SUM(F379:F381)</f>
        <v>212</v>
      </c>
      <c r="G382" s="44">
        <f t="shared" si="200"/>
        <v>247</v>
      </c>
      <c r="H382" s="44">
        <f t="shared" ref="H382:I382" si="201">SUM(H379:H381)</f>
        <v>262</v>
      </c>
      <c r="I382" s="44">
        <f t="shared" si="201"/>
        <v>300</v>
      </c>
      <c r="J382" s="44">
        <f t="shared" ref="J382:K382" si="202">SUM(J379:J381)</f>
        <v>281</v>
      </c>
      <c r="K382" s="44">
        <f t="shared" si="202"/>
        <v>265</v>
      </c>
      <c r="L382" s="44">
        <f t="shared" ref="L382:M382" si="203">SUM(L379:L381)</f>
        <v>266</v>
      </c>
      <c r="M382" s="44">
        <f t="shared" si="203"/>
        <v>282</v>
      </c>
      <c r="N382" s="139">
        <f t="shared" si="196"/>
        <v>2788</v>
      </c>
      <c r="O382" s="45">
        <f t="shared" si="197"/>
        <v>232.33333333333334</v>
      </c>
      <c r="P382" s="10"/>
      <c r="Q382" s="10"/>
      <c r="R382" s="10"/>
      <c r="S382" s="10"/>
      <c r="T382" s="10"/>
      <c r="U382" s="10"/>
      <c r="V382" s="10"/>
      <c r="W382" s="10"/>
      <c r="X382" s="10"/>
      <c r="Y382" s="10"/>
      <c r="Z382" s="10"/>
    </row>
    <row r="383" spans="1:26" s="9" customFormat="1" ht="15.75">
      <c r="A383" s="67" t="s">
        <v>93</v>
      </c>
      <c r="B383" s="44">
        <v>0</v>
      </c>
      <c r="C383" s="44">
        <v>0</v>
      </c>
      <c r="D383" s="44">
        <v>0</v>
      </c>
      <c r="E383" s="44">
        <v>0</v>
      </c>
      <c r="F383" s="44">
        <v>0</v>
      </c>
      <c r="G383" s="44">
        <v>0</v>
      </c>
      <c r="H383" s="44">
        <v>0</v>
      </c>
      <c r="I383" s="44">
        <v>0</v>
      </c>
      <c r="J383" s="44">
        <v>0</v>
      </c>
      <c r="K383" s="44">
        <v>0</v>
      </c>
      <c r="L383" s="44">
        <v>0</v>
      </c>
      <c r="M383" s="44">
        <v>0</v>
      </c>
      <c r="N383" s="139">
        <f t="shared" si="196"/>
        <v>0</v>
      </c>
      <c r="O383" s="45">
        <f t="shared" si="197"/>
        <v>0</v>
      </c>
      <c r="P383" s="57"/>
      <c r="Q383" s="57"/>
      <c r="R383" s="57"/>
      <c r="S383" s="57"/>
      <c r="T383" s="57"/>
      <c r="U383" s="57"/>
      <c r="V383" s="57"/>
      <c r="W383" s="57"/>
      <c r="X383" s="57"/>
      <c r="Y383" s="57"/>
      <c r="Z383" s="57"/>
    </row>
    <row r="384" spans="1:26" s="9" customFormat="1" ht="15.75">
      <c r="A384" s="56" t="s">
        <v>94</v>
      </c>
      <c r="B384" s="22">
        <f t="shared" ref="B384:G384" si="204">IF(B382=0,"",B382/B1676)</f>
        <v>7.354838709677419</v>
      </c>
      <c r="C384" s="22">
        <f t="shared" si="204"/>
        <v>9.25</v>
      </c>
      <c r="D384" s="22">
        <f t="shared" si="204"/>
        <v>4.32258064516129</v>
      </c>
      <c r="E384" s="22">
        <f t="shared" si="204"/>
        <v>1.7333333333333334</v>
      </c>
      <c r="F384" s="22">
        <f t="shared" si="204"/>
        <v>6.838709677419355</v>
      </c>
      <c r="G384" s="22">
        <f t="shared" si="204"/>
        <v>8.2333333333333325</v>
      </c>
      <c r="H384" s="22">
        <f t="shared" ref="H384:I384" si="205">IF(H382=0,"",H382/H1676)</f>
        <v>8.4516129032258061</v>
      </c>
      <c r="I384" s="22">
        <f t="shared" si="205"/>
        <v>9.67741935483871</v>
      </c>
      <c r="J384" s="22">
        <f t="shared" ref="J384:K384" si="206">IF(J382=0,"",J382/J1676)</f>
        <v>9.3666666666666671</v>
      </c>
      <c r="K384" s="22">
        <f t="shared" si="206"/>
        <v>8.5483870967741939</v>
      </c>
      <c r="L384" s="22">
        <f t="shared" ref="L384:M384" si="207">IF(L382=0,"",L382/L1676)</f>
        <v>8.8666666666666671</v>
      </c>
      <c r="M384" s="22">
        <f t="shared" si="207"/>
        <v>9.0967741935483879</v>
      </c>
      <c r="N384" s="128">
        <f t="shared" si="196"/>
        <v>91.74032258064517</v>
      </c>
      <c r="O384" s="22">
        <f t="shared" si="197"/>
        <v>7.6450268817204305</v>
      </c>
      <c r="P384" s="10"/>
      <c r="Q384" s="10"/>
      <c r="R384" s="10"/>
      <c r="S384" s="10"/>
      <c r="T384" s="10"/>
      <c r="U384" s="10"/>
      <c r="V384" s="10"/>
      <c r="W384" s="10"/>
      <c r="X384" s="10"/>
      <c r="Y384" s="10"/>
      <c r="Z384" s="10"/>
    </row>
    <row r="385" spans="1:26" s="9" customFormat="1">
      <c r="A385" s="23"/>
      <c r="B385" s="24"/>
      <c r="C385" s="24"/>
      <c r="D385" s="24"/>
      <c r="E385" s="24"/>
      <c r="F385" s="24"/>
      <c r="G385" s="24"/>
      <c r="H385" s="25"/>
      <c r="I385" s="25"/>
      <c r="J385" s="25"/>
      <c r="K385" s="25"/>
      <c r="L385" s="25"/>
      <c r="M385" s="25"/>
      <c r="N385" s="134"/>
      <c r="O385" s="13"/>
      <c r="P385" s="8"/>
      <c r="Q385" s="8"/>
      <c r="R385" s="8"/>
      <c r="S385" s="8"/>
      <c r="T385" s="8"/>
      <c r="U385" s="8"/>
      <c r="V385" s="8"/>
      <c r="W385" s="8"/>
      <c r="X385" s="8"/>
      <c r="Y385" s="8"/>
      <c r="Z385" s="8"/>
    </row>
    <row r="386" spans="1:26" s="9" customFormat="1" ht="15.75">
      <c r="A386" s="58" t="s">
        <v>95</v>
      </c>
      <c r="B386" s="59">
        <f t="shared" ref="B386:C386" si="208">B382</f>
        <v>228</v>
      </c>
      <c r="C386" s="59">
        <f t="shared" si="208"/>
        <v>259</v>
      </c>
      <c r="D386" s="59">
        <f t="shared" ref="D386:E386" si="209">D382</f>
        <v>134</v>
      </c>
      <c r="E386" s="59">
        <f t="shared" si="209"/>
        <v>52</v>
      </c>
      <c r="F386" s="59">
        <f t="shared" ref="F386:G386" si="210">F382</f>
        <v>212</v>
      </c>
      <c r="G386" s="59">
        <f t="shared" si="210"/>
        <v>247</v>
      </c>
      <c r="H386" s="59">
        <f t="shared" ref="H386:I386" si="211">H382</f>
        <v>262</v>
      </c>
      <c r="I386" s="59">
        <f t="shared" si="211"/>
        <v>300</v>
      </c>
      <c r="J386" s="59">
        <f t="shared" ref="J386:K386" si="212">J382</f>
        <v>281</v>
      </c>
      <c r="K386" s="59">
        <f t="shared" si="212"/>
        <v>265</v>
      </c>
      <c r="L386" s="59">
        <f t="shared" ref="L386:M386" si="213">L382</f>
        <v>266</v>
      </c>
      <c r="M386" s="59">
        <f t="shared" si="213"/>
        <v>282</v>
      </c>
      <c r="N386" s="128">
        <f>SUM(B386:M386)</f>
        <v>2788</v>
      </c>
      <c r="O386" s="22">
        <f>IF(N386=0,0,AVERAGE(B386:M386))</f>
        <v>232.33333333333334</v>
      </c>
      <c r="P386" s="8"/>
      <c r="Q386" s="8"/>
      <c r="R386" s="8"/>
      <c r="S386" s="8"/>
      <c r="T386" s="8"/>
      <c r="U386" s="8"/>
      <c r="V386" s="8"/>
      <c r="W386" s="8"/>
      <c r="X386" s="8"/>
      <c r="Y386" s="8"/>
      <c r="Z386" s="8"/>
    </row>
    <row r="387" spans="1:26" s="9" customFormat="1" ht="15.75">
      <c r="A387" s="34" t="s">
        <v>96</v>
      </c>
      <c r="B387" s="18">
        <v>5</v>
      </c>
      <c r="C387" s="18">
        <v>5</v>
      </c>
      <c r="D387" s="18">
        <v>5</v>
      </c>
      <c r="E387" s="18">
        <v>5</v>
      </c>
      <c r="F387" s="18">
        <v>5</v>
      </c>
      <c r="G387" s="18">
        <v>5</v>
      </c>
      <c r="H387" s="18">
        <v>5</v>
      </c>
      <c r="I387" s="18">
        <v>5</v>
      </c>
      <c r="J387" s="18">
        <v>5</v>
      </c>
      <c r="K387" s="18">
        <v>5</v>
      </c>
      <c r="L387" s="18">
        <v>5</v>
      </c>
      <c r="M387" s="18">
        <v>5</v>
      </c>
      <c r="N387" s="133">
        <f>SUM(B387:M387)</f>
        <v>60</v>
      </c>
      <c r="O387" s="19">
        <f>IF(N387=0,0,AVERAGE(B387:M387))</f>
        <v>5</v>
      </c>
      <c r="P387" s="8"/>
      <c r="Q387" s="8"/>
      <c r="R387" s="8"/>
      <c r="S387" s="8"/>
      <c r="T387" s="8"/>
      <c r="U387" s="8"/>
      <c r="V387" s="8"/>
      <c r="W387" s="8"/>
      <c r="X387" s="8"/>
      <c r="Y387" s="8"/>
      <c r="Z387" s="8"/>
    </row>
    <row r="388" spans="1:26" s="9" customFormat="1" ht="15.75">
      <c r="A388" s="56" t="s">
        <v>97</v>
      </c>
      <c r="B388" s="22">
        <f t="shared" ref="B388:C388" si="214">IF(B384="","",B384/B387)</f>
        <v>1.4709677419354839</v>
      </c>
      <c r="C388" s="22">
        <f t="shared" si="214"/>
        <v>1.85</v>
      </c>
      <c r="D388" s="22">
        <f t="shared" ref="D388:E388" si="215">IF(D384="","",D384/D387)</f>
        <v>0.86451612903225805</v>
      </c>
      <c r="E388" s="22">
        <f t="shared" si="215"/>
        <v>0.34666666666666668</v>
      </c>
      <c r="F388" s="22">
        <f t="shared" ref="F388:H388" si="216">IF(F384="","",F384/F387)</f>
        <v>1.3677419354838709</v>
      </c>
      <c r="G388" s="22">
        <f t="shared" si="216"/>
        <v>1.6466666666666665</v>
      </c>
      <c r="H388" s="22">
        <f t="shared" si="216"/>
        <v>1.6903225806451612</v>
      </c>
      <c r="I388" s="22">
        <f t="shared" ref="I388:J388" si="217">IF(I384="","",I384/I387)</f>
        <v>1.935483870967742</v>
      </c>
      <c r="J388" s="22">
        <f t="shared" si="217"/>
        <v>1.8733333333333335</v>
      </c>
      <c r="K388" s="22">
        <f t="shared" ref="K388:L388" si="218">IF(K384="","",K384/K387)</f>
        <v>1.7096774193548387</v>
      </c>
      <c r="L388" s="22">
        <f t="shared" si="218"/>
        <v>1.7733333333333334</v>
      </c>
      <c r="M388" s="22">
        <f t="shared" ref="M388" si="219">IF(M384="","",M384/M387)</f>
        <v>1.8193548387096776</v>
      </c>
      <c r="N388" s="128">
        <f>SUM(B388:M388)</f>
        <v>18.348064516129032</v>
      </c>
      <c r="O388" s="22">
        <f>IF(N388=0,0,AVERAGE(B388:M388))</f>
        <v>1.5290053763440861</v>
      </c>
      <c r="P388" s="10"/>
      <c r="Q388" s="10"/>
      <c r="R388" s="10"/>
      <c r="S388" s="10"/>
      <c r="T388" s="10"/>
      <c r="U388" s="10"/>
      <c r="V388" s="10"/>
      <c r="W388" s="10"/>
      <c r="X388" s="10"/>
      <c r="Y388" s="10"/>
      <c r="Z388" s="10"/>
    </row>
    <row r="389" spans="1:26" s="9" customFormat="1" ht="15.75">
      <c r="A389" s="23"/>
      <c r="B389" s="24"/>
      <c r="C389" s="24"/>
      <c r="D389" s="24"/>
      <c r="E389" s="24"/>
      <c r="F389" s="25"/>
      <c r="G389" s="25"/>
      <c r="H389" s="25"/>
      <c r="I389" s="25"/>
      <c r="J389" s="25"/>
      <c r="K389" s="25"/>
      <c r="L389" s="25"/>
      <c r="M389" s="25"/>
      <c r="N389" s="134"/>
      <c r="O389" s="54"/>
      <c r="P389" s="10"/>
      <c r="Q389" s="10"/>
      <c r="R389" s="10"/>
      <c r="S389" s="10"/>
      <c r="T389" s="10"/>
      <c r="U389" s="10"/>
      <c r="V389" s="10"/>
      <c r="W389" s="10"/>
      <c r="X389" s="10"/>
      <c r="Y389" s="10"/>
      <c r="Z389" s="10"/>
    </row>
    <row r="390" spans="1:26" s="9" customFormat="1" ht="15.75">
      <c r="A390" s="60" t="s">
        <v>98</v>
      </c>
      <c r="B390" s="55"/>
      <c r="C390" s="55"/>
      <c r="D390" s="55"/>
      <c r="E390" s="55"/>
      <c r="F390" s="55"/>
      <c r="G390" s="55"/>
      <c r="H390" s="55"/>
      <c r="I390" s="55"/>
      <c r="J390" s="55"/>
      <c r="K390" s="55"/>
      <c r="L390" s="55"/>
      <c r="M390" s="55"/>
      <c r="N390" s="132"/>
      <c r="O390" s="16"/>
      <c r="P390" s="10"/>
      <c r="Q390" s="10"/>
      <c r="R390" s="10"/>
      <c r="S390" s="10"/>
      <c r="T390" s="10"/>
      <c r="U390" s="10"/>
      <c r="V390" s="10"/>
      <c r="W390" s="10"/>
      <c r="X390" s="10"/>
      <c r="Y390" s="10"/>
      <c r="Z390" s="10"/>
    </row>
    <row r="391" spans="1:26" s="9" customFormat="1" ht="15.75">
      <c r="A391" s="34" t="s">
        <v>99</v>
      </c>
      <c r="B391" s="18">
        <v>224</v>
      </c>
      <c r="C391" s="18">
        <v>255</v>
      </c>
      <c r="D391" s="18">
        <v>130</v>
      </c>
      <c r="E391" s="18">
        <v>47</v>
      </c>
      <c r="F391" s="18">
        <v>209</v>
      </c>
      <c r="G391" s="18">
        <v>239</v>
      </c>
      <c r="H391" s="18">
        <v>254</v>
      </c>
      <c r="I391" s="18">
        <v>289</v>
      </c>
      <c r="J391" s="18">
        <v>267</v>
      </c>
      <c r="K391" s="18">
        <v>257</v>
      </c>
      <c r="L391" s="18">
        <v>259</v>
      </c>
      <c r="M391" s="18">
        <v>266</v>
      </c>
      <c r="N391" s="133">
        <f>SUM(B391:M391)</f>
        <v>2696</v>
      </c>
      <c r="O391" s="19">
        <f>IF(N391=0,0,AVERAGE(B391:M391))</f>
        <v>224.66666666666666</v>
      </c>
      <c r="P391" s="10"/>
      <c r="Q391" s="10"/>
      <c r="R391" s="10"/>
      <c r="S391" s="10"/>
      <c r="T391" s="10"/>
      <c r="U391" s="10"/>
      <c r="V391" s="10"/>
      <c r="W391" s="10"/>
      <c r="X391" s="10"/>
      <c r="Y391" s="10"/>
      <c r="Z391" s="10"/>
    </row>
    <row r="392" spans="1:26" s="9" customFormat="1" ht="15.75">
      <c r="A392" s="34" t="s">
        <v>381</v>
      </c>
      <c r="B392" s="18">
        <v>4</v>
      </c>
      <c r="C392" s="18">
        <v>4</v>
      </c>
      <c r="D392" s="18">
        <v>4</v>
      </c>
      <c r="E392" s="18">
        <v>5</v>
      </c>
      <c r="F392" s="18">
        <v>3</v>
      </c>
      <c r="G392" s="18">
        <v>8</v>
      </c>
      <c r="H392" s="18">
        <v>8</v>
      </c>
      <c r="I392" s="18">
        <v>11</v>
      </c>
      <c r="J392" s="18">
        <v>14</v>
      </c>
      <c r="K392" s="18">
        <v>8</v>
      </c>
      <c r="L392" s="18">
        <v>7</v>
      </c>
      <c r="M392" s="18">
        <v>16</v>
      </c>
      <c r="N392" s="133">
        <f>SUM(B392:M392)</f>
        <v>92</v>
      </c>
      <c r="O392" s="19">
        <f>IF(N392=0,0,AVERAGE(B392:M392))</f>
        <v>7.666666666666667</v>
      </c>
      <c r="P392" s="8"/>
      <c r="Q392" s="8"/>
      <c r="R392" s="8"/>
      <c r="S392" s="8"/>
      <c r="T392" s="8"/>
      <c r="U392" s="8"/>
      <c r="V392" s="8"/>
      <c r="W392" s="8"/>
      <c r="X392" s="8"/>
      <c r="Y392" s="8"/>
      <c r="Z392" s="8"/>
    </row>
    <row r="393" spans="1:26" s="9" customFormat="1" ht="15.75">
      <c r="A393" s="56" t="s">
        <v>21</v>
      </c>
      <c r="B393" s="21">
        <f t="shared" ref="B393:D393" si="220">SUM(B391:B392)</f>
        <v>228</v>
      </c>
      <c r="C393" s="21">
        <f t="shared" si="220"/>
        <v>259</v>
      </c>
      <c r="D393" s="21">
        <f t="shared" si="220"/>
        <v>134</v>
      </c>
      <c r="E393" s="21">
        <f t="shared" ref="E393:M393" si="221">SUM(E391:E392)</f>
        <v>52</v>
      </c>
      <c r="F393" s="21">
        <f t="shared" si="221"/>
        <v>212</v>
      </c>
      <c r="G393" s="21">
        <f t="shared" si="221"/>
        <v>247</v>
      </c>
      <c r="H393" s="21">
        <f t="shared" si="221"/>
        <v>262</v>
      </c>
      <c r="I393" s="21">
        <f t="shared" si="221"/>
        <v>300</v>
      </c>
      <c r="J393" s="21">
        <f t="shared" si="221"/>
        <v>281</v>
      </c>
      <c r="K393" s="21">
        <f t="shared" si="221"/>
        <v>265</v>
      </c>
      <c r="L393" s="21">
        <f t="shared" si="221"/>
        <v>266</v>
      </c>
      <c r="M393" s="21">
        <f t="shared" si="221"/>
        <v>282</v>
      </c>
      <c r="N393" s="128">
        <f>SUM(N391:N392)</f>
        <v>2788</v>
      </c>
      <c r="O393" s="22">
        <f>SUM(O391:O392)</f>
        <v>232.33333333333331</v>
      </c>
      <c r="P393" s="8"/>
      <c r="Q393" s="8"/>
      <c r="R393" s="8"/>
      <c r="S393" s="8"/>
      <c r="T393" s="8"/>
      <c r="U393" s="8"/>
      <c r="V393" s="8"/>
      <c r="W393" s="8"/>
      <c r="X393" s="8"/>
      <c r="Y393" s="8"/>
      <c r="Z393" s="8"/>
    </row>
    <row r="394" spans="1:26" s="9" customFormat="1" ht="15.75">
      <c r="A394" s="61"/>
      <c r="B394" s="62"/>
      <c r="C394" s="62"/>
      <c r="D394" s="62"/>
      <c r="E394" s="62"/>
      <c r="F394" s="62"/>
      <c r="G394" s="62"/>
      <c r="H394" s="62"/>
      <c r="I394" s="62"/>
      <c r="J394" s="62"/>
      <c r="K394" s="62"/>
      <c r="L394" s="62"/>
      <c r="M394" s="62"/>
      <c r="N394" s="142"/>
      <c r="O394" s="63"/>
      <c r="P394" s="10"/>
      <c r="Q394" s="10"/>
      <c r="R394" s="10"/>
      <c r="S394" s="10"/>
      <c r="T394" s="10"/>
      <c r="U394" s="10"/>
      <c r="V394" s="10"/>
      <c r="W394" s="10"/>
      <c r="X394" s="10"/>
      <c r="Y394" s="10"/>
      <c r="Z394" s="10"/>
    </row>
    <row r="395" spans="1:26" s="9" customFormat="1" ht="15.75">
      <c r="A395" s="362" t="s">
        <v>673</v>
      </c>
      <c r="B395" s="430"/>
      <c r="C395" s="430"/>
      <c r="D395" s="430"/>
      <c r="E395" s="430"/>
      <c r="F395" s="430"/>
      <c r="G395" s="430"/>
      <c r="H395" s="430"/>
      <c r="I395" s="430"/>
      <c r="J395" s="430"/>
      <c r="K395" s="430"/>
      <c r="L395" s="430"/>
      <c r="M395" s="430"/>
      <c r="N395" s="364"/>
      <c r="O395" s="365"/>
      <c r="P395" s="8"/>
      <c r="Q395" s="8"/>
      <c r="R395" s="8"/>
      <c r="S395" s="8"/>
      <c r="T395" s="8"/>
      <c r="U395" s="8"/>
      <c r="V395" s="8"/>
      <c r="W395" s="8"/>
      <c r="X395" s="8"/>
      <c r="Y395" s="8"/>
      <c r="Z395" s="8"/>
    </row>
    <row r="396" spans="1:26" s="9" customFormat="1" ht="15.75">
      <c r="A396" s="431" t="s">
        <v>26</v>
      </c>
      <c r="B396" s="35">
        <v>19</v>
      </c>
      <c r="C396" s="35">
        <v>16</v>
      </c>
      <c r="D396" s="414">
        <v>6</v>
      </c>
      <c r="E396" s="35">
        <v>0</v>
      </c>
      <c r="F396" s="35">
        <v>20</v>
      </c>
      <c r="G396" s="414">
        <v>20</v>
      </c>
      <c r="H396" s="35">
        <v>20</v>
      </c>
      <c r="I396" s="35">
        <v>20</v>
      </c>
      <c r="J396" s="35">
        <v>20</v>
      </c>
      <c r="K396" s="35">
        <v>20</v>
      </c>
      <c r="L396" s="35">
        <v>22</v>
      </c>
      <c r="M396" s="35">
        <v>29</v>
      </c>
      <c r="N396" s="138">
        <f t="shared" ref="N396:N401" si="222">SUM(B396:M396)</f>
        <v>212</v>
      </c>
      <c r="O396" s="42">
        <f t="shared" ref="O396:O402" si="223">IF(N396=0,0,AVERAGE(B396:M396))</f>
        <v>17.666666666666668</v>
      </c>
      <c r="P396" s="8"/>
      <c r="Q396" s="8"/>
      <c r="R396" s="8"/>
      <c r="S396" s="8"/>
      <c r="T396" s="8"/>
      <c r="U396" s="8"/>
      <c r="V396" s="8"/>
      <c r="W396" s="8"/>
      <c r="X396" s="8"/>
      <c r="Y396" s="8"/>
      <c r="Z396" s="8"/>
    </row>
    <row r="397" spans="1:26" s="9" customFormat="1" ht="15.75">
      <c r="A397" s="431" t="s">
        <v>305</v>
      </c>
      <c r="B397" s="35">
        <v>22</v>
      </c>
      <c r="C397" s="35">
        <v>22</v>
      </c>
      <c r="D397" s="414">
        <v>14</v>
      </c>
      <c r="E397" s="35">
        <v>1</v>
      </c>
      <c r="F397" s="35">
        <v>24</v>
      </c>
      <c r="G397" s="414">
        <v>23</v>
      </c>
      <c r="H397" s="35">
        <v>26</v>
      </c>
      <c r="I397" s="35">
        <v>21</v>
      </c>
      <c r="J397" s="35">
        <v>24</v>
      </c>
      <c r="K397" s="35">
        <v>30</v>
      </c>
      <c r="L397" s="35">
        <v>34</v>
      </c>
      <c r="M397" s="35">
        <v>32</v>
      </c>
      <c r="N397" s="138">
        <f t="shared" si="222"/>
        <v>273</v>
      </c>
      <c r="O397" s="42">
        <f t="shared" si="223"/>
        <v>22.75</v>
      </c>
      <c r="P397" s="8"/>
      <c r="Q397" s="8"/>
      <c r="R397" s="8"/>
      <c r="S397" s="8"/>
      <c r="T397" s="8"/>
      <c r="U397" s="8"/>
      <c r="V397" s="8"/>
      <c r="W397" s="8"/>
      <c r="X397" s="8"/>
      <c r="Y397" s="8"/>
      <c r="Z397" s="8"/>
    </row>
    <row r="398" spans="1:26" s="9" customFormat="1" ht="15.75">
      <c r="A398" s="431" t="s">
        <v>25</v>
      </c>
      <c r="B398" s="35">
        <v>24</v>
      </c>
      <c r="C398" s="35">
        <v>45</v>
      </c>
      <c r="D398" s="414">
        <v>16</v>
      </c>
      <c r="E398" s="35">
        <v>4</v>
      </c>
      <c r="F398" s="35">
        <v>28</v>
      </c>
      <c r="G398" s="414">
        <v>36</v>
      </c>
      <c r="H398" s="35">
        <v>49</v>
      </c>
      <c r="I398" s="35">
        <v>42</v>
      </c>
      <c r="J398" s="35">
        <v>52</v>
      </c>
      <c r="K398" s="35">
        <v>48</v>
      </c>
      <c r="L398" s="35">
        <v>65</v>
      </c>
      <c r="M398" s="35">
        <v>64</v>
      </c>
      <c r="N398" s="138">
        <f t="shared" si="222"/>
        <v>473</v>
      </c>
      <c r="O398" s="42">
        <f t="shared" si="223"/>
        <v>39.416666666666664</v>
      </c>
      <c r="P398" s="10"/>
      <c r="Q398" s="10"/>
      <c r="R398" s="10"/>
      <c r="S398" s="10"/>
      <c r="T398" s="10"/>
      <c r="U398" s="10"/>
      <c r="V398" s="10"/>
      <c r="W398" s="10"/>
      <c r="X398" s="10"/>
      <c r="Y398" s="10"/>
      <c r="Z398" s="10"/>
    </row>
    <row r="399" spans="1:26" s="9" customFormat="1" ht="15.75">
      <c r="A399" s="432" t="s">
        <v>100</v>
      </c>
      <c r="B399" s="35">
        <v>33</v>
      </c>
      <c r="C399" s="35">
        <v>36</v>
      </c>
      <c r="D399" s="414">
        <v>16</v>
      </c>
      <c r="E399" s="35">
        <v>7</v>
      </c>
      <c r="F399" s="35">
        <v>14</v>
      </c>
      <c r="G399" s="414">
        <v>27</v>
      </c>
      <c r="H399" s="35">
        <v>27</v>
      </c>
      <c r="I399" s="35">
        <v>40</v>
      </c>
      <c r="J399" s="35">
        <v>25</v>
      </c>
      <c r="K399" s="35">
        <v>20</v>
      </c>
      <c r="L399" s="35">
        <v>11</v>
      </c>
      <c r="M399" s="35">
        <v>18</v>
      </c>
      <c r="N399" s="138">
        <f t="shared" si="222"/>
        <v>274</v>
      </c>
      <c r="O399" s="42">
        <f t="shared" si="223"/>
        <v>22.833333333333332</v>
      </c>
      <c r="P399" s="8"/>
      <c r="Q399" s="8"/>
      <c r="R399" s="8"/>
      <c r="S399" s="8"/>
      <c r="T399" s="8"/>
      <c r="U399" s="8"/>
      <c r="V399" s="8"/>
      <c r="W399" s="8"/>
      <c r="X399" s="8"/>
      <c r="Y399" s="8"/>
      <c r="Z399" s="8"/>
    </row>
    <row r="400" spans="1:26" s="9" customFormat="1" ht="15.75">
      <c r="A400" s="431" t="s">
        <v>306</v>
      </c>
      <c r="B400" s="35">
        <v>41</v>
      </c>
      <c r="C400" s="35">
        <v>45</v>
      </c>
      <c r="D400" s="414">
        <v>13</v>
      </c>
      <c r="E400" s="35">
        <v>28</v>
      </c>
      <c r="F400" s="35">
        <v>51</v>
      </c>
      <c r="G400" s="414">
        <v>43</v>
      </c>
      <c r="H400" s="35">
        <v>41</v>
      </c>
      <c r="I400" s="35">
        <v>30</v>
      </c>
      <c r="J400" s="35">
        <v>43</v>
      </c>
      <c r="K400" s="35">
        <v>51</v>
      </c>
      <c r="L400" s="35">
        <v>42</v>
      </c>
      <c r="M400" s="35">
        <v>50</v>
      </c>
      <c r="N400" s="138">
        <f t="shared" si="222"/>
        <v>478</v>
      </c>
      <c r="O400" s="42">
        <f t="shared" si="223"/>
        <v>39.833333333333336</v>
      </c>
      <c r="P400" s="8"/>
      <c r="Q400" s="8"/>
      <c r="R400" s="8"/>
      <c r="S400" s="8"/>
      <c r="T400" s="8"/>
      <c r="U400" s="8"/>
      <c r="V400" s="8"/>
      <c r="W400" s="8"/>
      <c r="X400" s="8"/>
      <c r="Y400" s="8"/>
      <c r="Z400" s="8"/>
    </row>
    <row r="401" spans="1:26" s="9" customFormat="1" ht="15.75">
      <c r="A401" s="431" t="s">
        <v>582</v>
      </c>
      <c r="B401" s="35">
        <v>45</v>
      </c>
      <c r="C401" s="35">
        <v>44</v>
      </c>
      <c r="D401" s="414">
        <v>34</v>
      </c>
      <c r="E401" s="35">
        <v>5</v>
      </c>
      <c r="F401" s="35">
        <v>48</v>
      </c>
      <c r="G401" s="414">
        <v>47</v>
      </c>
      <c r="H401" s="35">
        <v>45</v>
      </c>
      <c r="I401" s="35">
        <v>51</v>
      </c>
      <c r="J401" s="35">
        <v>37</v>
      </c>
      <c r="K401" s="35">
        <v>32</v>
      </c>
      <c r="L401" s="35">
        <v>36</v>
      </c>
      <c r="M401" s="35">
        <v>26</v>
      </c>
      <c r="N401" s="138">
        <f t="shared" si="222"/>
        <v>450</v>
      </c>
      <c r="O401" s="42">
        <f t="shared" si="223"/>
        <v>37.5</v>
      </c>
      <c r="P401" s="8"/>
      <c r="Q401" s="8"/>
      <c r="R401" s="8"/>
      <c r="S401" s="8"/>
      <c r="T401" s="8"/>
      <c r="U401" s="8"/>
      <c r="V401" s="8"/>
      <c r="W401" s="8"/>
      <c r="X401" s="8"/>
      <c r="Y401" s="8"/>
      <c r="Z401" s="8"/>
    </row>
    <row r="402" spans="1:26" s="9" customFormat="1" ht="15.75">
      <c r="A402" s="429" t="s">
        <v>592</v>
      </c>
      <c r="B402" s="35">
        <v>1</v>
      </c>
      <c r="C402" s="35">
        <v>1</v>
      </c>
      <c r="D402" s="414">
        <v>0</v>
      </c>
      <c r="E402" s="35">
        <v>0</v>
      </c>
      <c r="F402" s="35">
        <v>0</v>
      </c>
      <c r="G402" s="414">
        <v>1</v>
      </c>
      <c r="H402" s="35">
        <v>0</v>
      </c>
      <c r="I402" s="35">
        <v>0</v>
      </c>
      <c r="J402" s="35">
        <v>1</v>
      </c>
      <c r="K402" s="35">
        <v>2</v>
      </c>
      <c r="L402" s="35">
        <v>0</v>
      </c>
      <c r="M402" s="35">
        <v>2</v>
      </c>
      <c r="N402" s="138">
        <f>SUM(B402:M402)</f>
        <v>8</v>
      </c>
      <c r="O402" s="42">
        <f t="shared" si="223"/>
        <v>0.66666666666666663</v>
      </c>
      <c r="P402" s="10"/>
      <c r="Q402" s="10"/>
      <c r="R402" s="10"/>
      <c r="S402" s="10"/>
      <c r="T402" s="10"/>
      <c r="U402" s="10"/>
      <c r="V402" s="10"/>
      <c r="W402" s="10"/>
      <c r="X402" s="10"/>
      <c r="Y402" s="10"/>
      <c r="Z402" s="10"/>
    </row>
    <row r="403" spans="1:26" s="9" customFormat="1" ht="15.75">
      <c r="A403" s="429" t="s">
        <v>732</v>
      </c>
      <c r="B403" s="35">
        <v>15</v>
      </c>
      <c r="C403" s="35">
        <v>15</v>
      </c>
      <c r="D403" s="414">
        <v>12</v>
      </c>
      <c r="E403" s="35">
        <v>4</v>
      </c>
      <c r="F403" s="35">
        <v>14</v>
      </c>
      <c r="G403" s="414">
        <v>8</v>
      </c>
      <c r="H403" s="35">
        <v>8</v>
      </c>
      <c r="I403" s="35">
        <v>9</v>
      </c>
      <c r="J403" s="35">
        <v>9</v>
      </c>
      <c r="K403" s="35">
        <v>10</v>
      </c>
      <c r="L403" s="35">
        <v>9</v>
      </c>
      <c r="M403" s="35">
        <v>13</v>
      </c>
      <c r="N403" s="138">
        <f t="shared" ref="N403:N408" si="224">SUM(B403:M403)</f>
        <v>126</v>
      </c>
      <c r="O403" s="42">
        <f t="shared" ref="O403:O408" si="225">IF(N403=0,0,AVERAGE(B403:M403))</f>
        <v>10.5</v>
      </c>
      <c r="P403" s="10"/>
      <c r="Q403" s="10"/>
      <c r="R403" s="10"/>
      <c r="S403" s="10"/>
      <c r="T403" s="10"/>
      <c r="U403" s="10"/>
      <c r="V403" s="10"/>
      <c r="W403" s="10"/>
      <c r="X403" s="10"/>
      <c r="Y403" s="10"/>
      <c r="Z403" s="10"/>
    </row>
    <row r="404" spans="1:26" s="9" customFormat="1" ht="15.75">
      <c r="A404" s="431" t="s">
        <v>720</v>
      </c>
      <c r="B404" s="35">
        <v>1</v>
      </c>
      <c r="C404" s="35">
        <v>5</v>
      </c>
      <c r="D404" s="414">
        <v>2</v>
      </c>
      <c r="E404" s="35">
        <v>0</v>
      </c>
      <c r="F404" s="35">
        <v>5</v>
      </c>
      <c r="G404" s="414">
        <v>3</v>
      </c>
      <c r="H404" s="35">
        <v>1</v>
      </c>
      <c r="I404" s="35">
        <v>7</v>
      </c>
      <c r="J404" s="35">
        <v>8</v>
      </c>
      <c r="K404" s="35">
        <v>4</v>
      </c>
      <c r="L404" s="35">
        <v>6</v>
      </c>
      <c r="M404" s="35">
        <v>4</v>
      </c>
      <c r="N404" s="138">
        <f t="shared" si="224"/>
        <v>46</v>
      </c>
      <c r="O404" s="42">
        <f t="shared" si="225"/>
        <v>3.8333333333333335</v>
      </c>
      <c r="P404" s="10"/>
      <c r="Q404" s="10"/>
      <c r="R404" s="10"/>
      <c r="S404" s="10"/>
      <c r="T404" s="10"/>
      <c r="U404" s="10"/>
      <c r="V404" s="10"/>
      <c r="W404" s="10"/>
      <c r="X404" s="10"/>
      <c r="Y404" s="10"/>
      <c r="Z404" s="10"/>
    </row>
    <row r="405" spans="1:26" s="9" customFormat="1" ht="15.75">
      <c r="A405" s="431" t="s">
        <v>730</v>
      </c>
      <c r="B405" s="35">
        <v>18</v>
      </c>
      <c r="C405" s="35">
        <v>20</v>
      </c>
      <c r="D405" s="414">
        <v>14</v>
      </c>
      <c r="E405" s="35">
        <v>0</v>
      </c>
      <c r="F405" s="35">
        <v>0</v>
      </c>
      <c r="G405" s="414">
        <v>28</v>
      </c>
      <c r="H405" s="35">
        <v>33</v>
      </c>
      <c r="I405" s="35">
        <v>70</v>
      </c>
      <c r="J405" s="35">
        <v>49</v>
      </c>
      <c r="K405" s="35">
        <v>39</v>
      </c>
      <c r="L405" s="35">
        <v>30</v>
      </c>
      <c r="M405" s="35">
        <v>36</v>
      </c>
      <c r="N405" s="138">
        <f t="shared" si="224"/>
        <v>337</v>
      </c>
      <c r="O405" s="42">
        <f t="shared" si="225"/>
        <v>28.083333333333332</v>
      </c>
      <c r="P405" s="10"/>
      <c r="Q405" s="10"/>
      <c r="R405" s="10"/>
      <c r="S405" s="10"/>
      <c r="T405" s="10"/>
      <c r="U405" s="10"/>
      <c r="V405" s="10"/>
      <c r="W405" s="10"/>
      <c r="X405" s="10"/>
      <c r="Y405" s="10"/>
      <c r="Z405" s="10"/>
    </row>
    <row r="406" spans="1:26" s="9" customFormat="1" ht="15.75">
      <c r="A406" s="431" t="s">
        <v>102</v>
      </c>
      <c r="B406" s="35">
        <v>9</v>
      </c>
      <c r="C406" s="35">
        <v>9</v>
      </c>
      <c r="D406" s="414">
        <v>6</v>
      </c>
      <c r="E406" s="35">
        <v>1</v>
      </c>
      <c r="F406" s="35">
        <v>6</v>
      </c>
      <c r="G406" s="414">
        <v>11</v>
      </c>
      <c r="H406" s="35">
        <v>11</v>
      </c>
      <c r="I406" s="35">
        <v>10</v>
      </c>
      <c r="J406" s="35">
        <v>12</v>
      </c>
      <c r="K406" s="35">
        <v>9</v>
      </c>
      <c r="L406" s="35">
        <v>10</v>
      </c>
      <c r="M406" s="35">
        <v>7</v>
      </c>
      <c r="N406" s="138">
        <f t="shared" si="224"/>
        <v>101</v>
      </c>
      <c r="O406" s="42">
        <f t="shared" si="225"/>
        <v>8.4166666666666661</v>
      </c>
      <c r="P406" s="10"/>
      <c r="Q406" s="10"/>
      <c r="R406" s="10"/>
      <c r="S406" s="10"/>
      <c r="T406" s="10"/>
      <c r="U406" s="10"/>
      <c r="V406" s="10"/>
      <c r="W406" s="10"/>
      <c r="X406" s="10"/>
      <c r="Y406" s="10"/>
      <c r="Z406" s="10"/>
    </row>
    <row r="407" spans="1:26" s="9" customFormat="1" ht="15.75">
      <c r="A407" s="431" t="s">
        <v>731</v>
      </c>
      <c r="B407" s="35">
        <v>0</v>
      </c>
      <c r="C407" s="35">
        <v>0</v>
      </c>
      <c r="D407" s="414">
        <v>0</v>
      </c>
      <c r="E407" s="35">
        <v>0</v>
      </c>
      <c r="F407" s="35">
        <v>0</v>
      </c>
      <c r="G407" s="414">
        <v>0</v>
      </c>
      <c r="H407" s="35">
        <v>0</v>
      </c>
      <c r="I407" s="35">
        <v>0</v>
      </c>
      <c r="J407" s="35">
        <v>0</v>
      </c>
      <c r="K407" s="35">
        <v>0</v>
      </c>
      <c r="L407" s="35">
        <v>0</v>
      </c>
      <c r="M407" s="35">
        <v>0</v>
      </c>
      <c r="N407" s="138">
        <f t="shared" si="224"/>
        <v>0</v>
      </c>
      <c r="O407" s="42">
        <f t="shared" si="225"/>
        <v>0</v>
      </c>
      <c r="P407" s="10"/>
      <c r="Q407" s="10"/>
      <c r="R407" s="10"/>
      <c r="S407" s="10"/>
      <c r="T407" s="10"/>
      <c r="U407" s="10"/>
      <c r="V407" s="10"/>
      <c r="W407" s="10"/>
      <c r="X407" s="10"/>
      <c r="Y407" s="10"/>
      <c r="Z407" s="10"/>
    </row>
    <row r="408" spans="1:26" s="9" customFormat="1" ht="15.75">
      <c r="A408" s="431" t="s">
        <v>22</v>
      </c>
      <c r="B408" s="35">
        <v>0</v>
      </c>
      <c r="C408" s="35">
        <v>1</v>
      </c>
      <c r="D408" s="414">
        <v>1</v>
      </c>
      <c r="E408" s="35">
        <v>2</v>
      </c>
      <c r="F408" s="35">
        <v>2</v>
      </c>
      <c r="G408" s="414">
        <v>0</v>
      </c>
      <c r="H408" s="35">
        <v>1</v>
      </c>
      <c r="I408" s="35">
        <v>0</v>
      </c>
      <c r="J408" s="35">
        <v>1</v>
      </c>
      <c r="K408" s="35">
        <v>0</v>
      </c>
      <c r="L408" s="35">
        <v>1</v>
      </c>
      <c r="M408" s="35">
        <v>1</v>
      </c>
      <c r="N408" s="138">
        <f t="shared" si="224"/>
        <v>10</v>
      </c>
      <c r="O408" s="42">
        <f t="shared" si="225"/>
        <v>0.83333333333333337</v>
      </c>
      <c r="P408" s="10"/>
      <c r="Q408" s="10"/>
      <c r="R408" s="10"/>
      <c r="S408" s="10"/>
      <c r="T408" s="10"/>
      <c r="U408" s="10"/>
      <c r="V408" s="10"/>
      <c r="W408" s="10"/>
      <c r="X408" s="10"/>
      <c r="Y408" s="10"/>
      <c r="Z408" s="10"/>
    </row>
    <row r="409" spans="1:26" s="9" customFormat="1" ht="15.75">
      <c r="A409" s="67" t="s">
        <v>21</v>
      </c>
      <c r="B409" s="44">
        <f t="shared" ref="B409:G409" si="226">SUM(B396:B408)</f>
        <v>228</v>
      </c>
      <c r="C409" s="44">
        <f t="shared" si="226"/>
        <v>259</v>
      </c>
      <c r="D409" s="44">
        <f t="shared" si="226"/>
        <v>134</v>
      </c>
      <c r="E409" s="44">
        <f t="shared" si="226"/>
        <v>52</v>
      </c>
      <c r="F409" s="44">
        <f t="shared" si="226"/>
        <v>212</v>
      </c>
      <c r="G409" s="44">
        <f t="shared" si="226"/>
        <v>247</v>
      </c>
      <c r="H409" s="44">
        <f t="shared" ref="H409:I409" si="227">SUM(H396:H408)</f>
        <v>262</v>
      </c>
      <c r="I409" s="44">
        <f t="shared" si="227"/>
        <v>300</v>
      </c>
      <c r="J409" s="44">
        <f t="shared" ref="J409:L409" si="228">SUM(J396:J408)</f>
        <v>281</v>
      </c>
      <c r="K409" s="44">
        <f t="shared" si="228"/>
        <v>265</v>
      </c>
      <c r="L409" s="44">
        <f t="shared" si="228"/>
        <v>266</v>
      </c>
      <c r="M409" s="44">
        <f t="shared" ref="M409" si="229">SUM(M396:M408)</f>
        <v>282</v>
      </c>
      <c r="N409" s="139">
        <f>SUM(N396:N408)</f>
        <v>2788</v>
      </c>
      <c r="O409" s="45">
        <f>SUM(O396:O408)</f>
        <v>232.33333333333334</v>
      </c>
      <c r="P409" s="10"/>
      <c r="Q409" s="10"/>
      <c r="R409" s="10"/>
      <c r="S409" s="10"/>
      <c r="T409" s="10"/>
      <c r="U409" s="10"/>
      <c r="V409" s="10"/>
      <c r="W409" s="10"/>
      <c r="X409" s="10"/>
      <c r="Y409" s="10"/>
      <c r="Z409" s="10"/>
    </row>
    <row r="410" spans="1:26" s="9" customFormat="1" ht="15.75">
      <c r="A410" s="181" t="s">
        <v>645</v>
      </c>
      <c r="B410" s="45">
        <f t="shared" ref="B410:G410" si="230">IF(B409=0,"",B409/B$1676)</f>
        <v>7.354838709677419</v>
      </c>
      <c r="C410" s="45">
        <f t="shared" si="230"/>
        <v>9.25</v>
      </c>
      <c r="D410" s="45">
        <f t="shared" si="230"/>
        <v>4.32258064516129</v>
      </c>
      <c r="E410" s="45">
        <f t="shared" si="230"/>
        <v>1.7333333333333334</v>
      </c>
      <c r="F410" s="45">
        <f t="shared" si="230"/>
        <v>6.838709677419355</v>
      </c>
      <c r="G410" s="45">
        <f t="shared" si="230"/>
        <v>8.2333333333333325</v>
      </c>
      <c r="H410" s="45">
        <f t="shared" ref="H410:I410" si="231">IF(H409=0,"",H409/H$1676)</f>
        <v>8.4516129032258061</v>
      </c>
      <c r="I410" s="45">
        <f t="shared" si="231"/>
        <v>9.67741935483871</v>
      </c>
      <c r="J410" s="45">
        <f t="shared" ref="J410:L410" si="232">IF(J409=0,"",J409/J$1676)</f>
        <v>9.3666666666666671</v>
      </c>
      <c r="K410" s="45">
        <f t="shared" si="232"/>
        <v>8.5483870967741939</v>
      </c>
      <c r="L410" s="45">
        <f t="shared" si="232"/>
        <v>8.8666666666666671</v>
      </c>
      <c r="M410" s="45">
        <f t="shared" ref="M410" si="233">IF(M409=0,"",M409/M$1676)</f>
        <v>9.0967741935483879</v>
      </c>
      <c r="N410" s="139">
        <f>SUM(B410:M410)</f>
        <v>91.74032258064517</v>
      </c>
      <c r="O410" s="45">
        <f>IF(N410=0,0,AVERAGE(B410:M410))</f>
        <v>7.6450268817204305</v>
      </c>
      <c r="P410" s="10"/>
      <c r="Q410" s="10"/>
      <c r="R410" s="10"/>
      <c r="S410" s="10"/>
      <c r="T410" s="10"/>
      <c r="U410" s="10"/>
      <c r="V410" s="10"/>
      <c r="W410" s="10"/>
      <c r="X410" s="10"/>
      <c r="Y410" s="10"/>
      <c r="Z410" s="10"/>
    </row>
    <row r="411" spans="1:26" s="347" customFormat="1" ht="15.75">
      <c r="A411" s="369"/>
      <c r="B411" s="378"/>
      <c r="C411" s="378"/>
      <c r="D411" s="378"/>
      <c r="E411" s="378"/>
      <c r="F411" s="378"/>
      <c r="G411" s="378"/>
      <c r="H411" s="378"/>
      <c r="I411" s="378"/>
      <c r="J411" s="378"/>
      <c r="K411" s="378"/>
      <c r="L411" s="378"/>
      <c r="M411" s="378"/>
      <c r="N411" s="371"/>
      <c r="O411" s="372"/>
      <c r="P411" s="346"/>
      <c r="Q411" s="346"/>
      <c r="R411" s="346"/>
      <c r="S411" s="346"/>
      <c r="T411" s="346"/>
      <c r="U411" s="346"/>
      <c r="V411" s="346"/>
      <c r="W411" s="346"/>
      <c r="X411" s="346"/>
      <c r="Y411" s="346"/>
      <c r="Z411" s="346"/>
    </row>
    <row r="412" spans="1:26" s="9" customFormat="1" ht="15.75">
      <c r="A412" s="356" t="s">
        <v>693</v>
      </c>
      <c r="B412" s="357"/>
      <c r="C412" s="357"/>
      <c r="D412" s="357"/>
      <c r="E412" s="357"/>
      <c r="F412" s="357"/>
      <c r="G412" s="357"/>
      <c r="H412" s="357"/>
      <c r="I412" s="357"/>
      <c r="J412" s="357"/>
      <c r="K412" s="357"/>
      <c r="L412" s="357"/>
      <c r="M412" s="357"/>
      <c r="N412" s="354"/>
      <c r="O412" s="355"/>
      <c r="P412" s="10"/>
      <c r="Q412" s="10"/>
      <c r="R412" s="10"/>
      <c r="S412" s="10"/>
      <c r="T412" s="10"/>
      <c r="U412" s="10"/>
      <c r="V412" s="10"/>
      <c r="W412" s="10"/>
      <c r="X412" s="10"/>
      <c r="Y412" s="10"/>
      <c r="Z412" s="10"/>
    </row>
    <row r="413" spans="1:26" s="9" customFormat="1" ht="15.75">
      <c r="A413" s="431" t="s">
        <v>26</v>
      </c>
      <c r="B413" s="291">
        <v>1.4826388888888891</v>
      </c>
      <c r="C413" s="291">
        <v>1.3576388888888891</v>
      </c>
      <c r="D413" s="291">
        <v>0.52083333333333337</v>
      </c>
      <c r="E413" s="291">
        <v>0</v>
      </c>
      <c r="F413" s="291">
        <v>1.9861111111111109</v>
      </c>
      <c r="G413" s="291">
        <v>2.1631944444444442</v>
      </c>
      <c r="H413" s="291">
        <v>1.8201388888888888</v>
      </c>
      <c r="I413" s="291">
        <v>1.6180555555555556</v>
      </c>
      <c r="J413" s="291">
        <v>1.7756944444444445</v>
      </c>
      <c r="K413" s="343">
        <v>1.5256944444444445</v>
      </c>
      <c r="L413" s="343">
        <v>1.5979166666666667</v>
      </c>
      <c r="M413" s="291">
        <v>2.3395833333333331</v>
      </c>
      <c r="N413" s="375">
        <f t="shared" ref="N413:N426" si="234">SUM(B413:M413)</f>
        <v>18.1875</v>
      </c>
      <c r="O413" s="375">
        <f t="shared" ref="O413:O425" si="235">IF(N413=0,0,AVERAGE(B413:M413))</f>
        <v>1.515625</v>
      </c>
      <c r="P413" s="10"/>
      <c r="Q413" s="10"/>
      <c r="R413" s="10"/>
      <c r="S413" s="10"/>
      <c r="T413" s="10"/>
      <c r="U413" s="10"/>
      <c r="V413" s="10"/>
      <c r="W413" s="10"/>
      <c r="X413" s="10"/>
      <c r="Y413" s="10"/>
      <c r="Z413" s="10"/>
    </row>
    <row r="414" spans="1:26" s="9" customFormat="1" ht="15.75">
      <c r="A414" s="431" t="s">
        <v>305</v>
      </c>
      <c r="B414" s="291">
        <v>1.1388888888888888</v>
      </c>
      <c r="C414" s="291">
        <v>1.5243055555555556</v>
      </c>
      <c r="D414" s="291">
        <v>0.8125</v>
      </c>
      <c r="E414" s="291">
        <v>5.9027777777777783E-2</v>
      </c>
      <c r="F414" s="291">
        <v>1.4722222222222223</v>
      </c>
      <c r="G414" s="291">
        <v>1.3715277777777777</v>
      </c>
      <c r="H414" s="291">
        <v>1.3715277777777777</v>
      </c>
      <c r="I414" s="291">
        <v>1.3013888888888889</v>
      </c>
      <c r="J414" s="291">
        <v>1.5368055555555555</v>
      </c>
      <c r="K414" s="291">
        <v>1.3694444444444445</v>
      </c>
      <c r="L414" s="291">
        <v>1.7284722222222222</v>
      </c>
      <c r="M414" s="291">
        <v>1.5402777777777779</v>
      </c>
      <c r="N414" s="375">
        <f t="shared" si="234"/>
        <v>15.226388888888888</v>
      </c>
      <c r="O414" s="375">
        <f t="shared" si="235"/>
        <v>1.2688657407407407</v>
      </c>
      <c r="P414" s="10"/>
      <c r="Q414" s="10"/>
      <c r="R414" s="10"/>
      <c r="S414" s="10"/>
      <c r="T414" s="10"/>
      <c r="U414" s="10"/>
      <c r="V414" s="10"/>
      <c r="W414" s="10"/>
      <c r="X414" s="10"/>
      <c r="Y414" s="10"/>
      <c r="Z414" s="10"/>
    </row>
    <row r="415" spans="1:26" s="9" customFormat="1" ht="15.75">
      <c r="A415" s="431" t="s">
        <v>25</v>
      </c>
      <c r="B415" s="291">
        <v>0.85625000000000007</v>
      </c>
      <c r="C415" s="291">
        <v>4.0486111111111116</v>
      </c>
      <c r="D415" s="291">
        <v>1.6493055555555556</v>
      </c>
      <c r="E415" s="291">
        <v>0.17361111111111113</v>
      </c>
      <c r="F415" s="291">
        <v>1.7465277777777777</v>
      </c>
      <c r="G415" s="291">
        <v>1.8881944444444445</v>
      </c>
      <c r="H415" s="291">
        <v>3.3048611111111108</v>
      </c>
      <c r="I415" s="291">
        <v>3.4583333333333335</v>
      </c>
      <c r="J415" s="291">
        <v>0.82777777777777783</v>
      </c>
      <c r="K415" s="291">
        <v>2.6972222222222224</v>
      </c>
      <c r="L415" s="291">
        <v>3.5173611111111112</v>
      </c>
      <c r="M415" s="291">
        <v>1.0229166666666667</v>
      </c>
      <c r="N415" s="375">
        <f t="shared" si="234"/>
        <v>25.190972222222225</v>
      </c>
      <c r="O415" s="375">
        <f t="shared" si="235"/>
        <v>2.0992476851851856</v>
      </c>
      <c r="P415" s="10"/>
      <c r="Q415" s="10"/>
      <c r="R415" s="10"/>
      <c r="S415" s="10"/>
      <c r="T415" s="10"/>
      <c r="U415" s="10"/>
      <c r="V415" s="10"/>
      <c r="W415" s="10"/>
      <c r="X415" s="10"/>
      <c r="Y415" s="10"/>
      <c r="Z415" s="10"/>
    </row>
    <row r="416" spans="1:26" s="9" customFormat="1" ht="15.75">
      <c r="A416" s="432" t="s">
        <v>100</v>
      </c>
      <c r="B416" s="291">
        <v>2.5138888888888888</v>
      </c>
      <c r="C416" s="291">
        <v>2.84375</v>
      </c>
      <c r="D416" s="291">
        <v>1.84375</v>
      </c>
      <c r="E416" s="291">
        <v>0.20416666666666669</v>
      </c>
      <c r="F416" s="291">
        <v>1.0486111111111112</v>
      </c>
      <c r="G416" s="291">
        <v>2.0381944444444442</v>
      </c>
      <c r="H416" s="291">
        <v>2.0027777777777778</v>
      </c>
      <c r="I416" s="291">
        <v>3.6631944444444446</v>
      </c>
      <c r="J416" s="291">
        <v>1.9951388888888888</v>
      </c>
      <c r="K416" s="291">
        <v>2.0006944444444446</v>
      </c>
      <c r="L416" s="291">
        <v>1.0138888888888888</v>
      </c>
      <c r="M416" s="291">
        <v>1.2708333333333333</v>
      </c>
      <c r="N416" s="375">
        <f t="shared" si="234"/>
        <v>22.43888888888889</v>
      </c>
      <c r="O416" s="375">
        <f t="shared" si="235"/>
        <v>1.8699074074074076</v>
      </c>
      <c r="P416" s="10"/>
      <c r="Q416" s="10"/>
      <c r="R416" s="10"/>
      <c r="S416" s="10"/>
      <c r="T416" s="10"/>
      <c r="U416" s="10"/>
      <c r="V416" s="10"/>
      <c r="W416" s="10"/>
      <c r="X416" s="10"/>
      <c r="Y416" s="10"/>
      <c r="Z416" s="10"/>
    </row>
    <row r="417" spans="1:26" s="9" customFormat="1" ht="15.75">
      <c r="A417" s="431" t="s">
        <v>306</v>
      </c>
      <c r="B417" s="291">
        <v>1.6840277777777777</v>
      </c>
      <c r="C417" s="291" t="s">
        <v>838</v>
      </c>
      <c r="D417" s="291">
        <v>0.75277777777777777</v>
      </c>
      <c r="E417" s="291">
        <v>1.1041666666666667</v>
      </c>
      <c r="F417" s="291">
        <v>2.1076388888888888</v>
      </c>
      <c r="G417" s="291">
        <v>1.9305555555555556</v>
      </c>
      <c r="H417" s="291">
        <v>1.9215277777777777</v>
      </c>
      <c r="I417" s="291">
        <v>1.6076388888888891</v>
      </c>
      <c r="J417" s="291">
        <v>1.7069444444444446</v>
      </c>
      <c r="K417" s="291">
        <v>1.7631944444444445</v>
      </c>
      <c r="L417" s="291">
        <v>1.7222222222222223</v>
      </c>
      <c r="M417" s="291">
        <v>1.7479166666666668</v>
      </c>
      <c r="N417" s="375">
        <f t="shared" si="234"/>
        <v>18.048611111111107</v>
      </c>
      <c r="O417" s="375">
        <f t="shared" si="235"/>
        <v>1.6407828282828278</v>
      </c>
      <c r="P417" s="10"/>
      <c r="Q417" s="10"/>
      <c r="R417" s="10"/>
      <c r="S417" s="10"/>
      <c r="T417" s="10"/>
      <c r="U417" s="10"/>
      <c r="V417" s="10"/>
      <c r="W417" s="10"/>
      <c r="X417" s="10"/>
      <c r="Y417" s="10"/>
      <c r="Z417" s="10"/>
    </row>
    <row r="418" spans="1:26" s="9" customFormat="1" ht="15.75">
      <c r="A418" s="431" t="s">
        <v>582</v>
      </c>
      <c r="B418" s="291">
        <v>2.375</v>
      </c>
      <c r="C418" s="291">
        <v>2.5034722222222223</v>
      </c>
      <c r="D418" s="291">
        <v>2.9409722222222219</v>
      </c>
      <c r="E418" s="291">
        <v>0.1388888888888889</v>
      </c>
      <c r="F418" s="291">
        <v>2.9729166666666664</v>
      </c>
      <c r="G418" s="291">
        <v>3.4583333333333335</v>
      </c>
      <c r="H418" s="291">
        <v>2.7944444444444443</v>
      </c>
      <c r="I418" s="291">
        <v>3.1354166666666665</v>
      </c>
      <c r="J418" s="291">
        <v>2.5416666666666665</v>
      </c>
      <c r="K418" s="291">
        <v>1.7277777777777779</v>
      </c>
      <c r="L418" s="291">
        <v>1.7388888888888889</v>
      </c>
      <c r="M418" s="291">
        <v>1.1833333333333333</v>
      </c>
      <c r="N418" s="375">
        <f t="shared" si="234"/>
        <v>27.511111111111116</v>
      </c>
      <c r="O418" s="375">
        <f t="shared" si="235"/>
        <v>2.2925925925925932</v>
      </c>
      <c r="P418" s="10"/>
      <c r="Q418" s="10"/>
      <c r="R418" s="10"/>
      <c r="S418" s="10"/>
      <c r="T418" s="10"/>
      <c r="U418" s="10"/>
      <c r="V418" s="10"/>
      <c r="W418" s="10"/>
      <c r="X418" s="10"/>
      <c r="Y418" s="10"/>
      <c r="Z418" s="10"/>
    </row>
    <row r="419" spans="1:26" s="9" customFormat="1" ht="15.75">
      <c r="A419" s="429" t="s">
        <v>592</v>
      </c>
      <c r="B419" s="291">
        <v>3.4722222222222224E-2</v>
      </c>
      <c r="C419" s="291">
        <v>4.8611111111111112E-2</v>
      </c>
      <c r="D419" s="291">
        <v>0</v>
      </c>
      <c r="E419" s="291">
        <v>0</v>
      </c>
      <c r="F419" s="291">
        <v>0</v>
      </c>
      <c r="G419" s="291">
        <v>0.11458333333333333</v>
      </c>
      <c r="H419" s="291">
        <v>0</v>
      </c>
      <c r="I419" s="291">
        <v>0</v>
      </c>
      <c r="J419" s="291">
        <v>7.2916666666666671E-2</v>
      </c>
      <c r="K419" s="291">
        <v>0.14583333333333334</v>
      </c>
      <c r="L419" s="291">
        <v>0</v>
      </c>
      <c r="M419" s="291">
        <v>7.9861111111111105E-2</v>
      </c>
      <c r="N419" s="375">
        <f t="shared" si="234"/>
        <v>0.49652777777777785</v>
      </c>
      <c r="O419" s="375">
        <f t="shared" si="235"/>
        <v>4.1377314814814818E-2</v>
      </c>
      <c r="P419" s="10"/>
      <c r="Q419" s="10"/>
      <c r="R419" s="10"/>
      <c r="S419" s="10"/>
      <c r="T419" s="10"/>
      <c r="U419" s="10"/>
      <c r="V419" s="10"/>
      <c r="W419" s="10"/>
      <c r="X419" s="10"/>
      <c r="Y419" s="10"/>
      <c r="Z419" s="10"/>
    </row>
    <row r="420" spans="1:26" s="9" customFormat="1" ht="15.75">
      <c r="A420" s="429" t="s">
        <v>732</v>
      </c>
      <c r="B420" s="291">
        <v>0.27777777777777779</v>
      </c>
      <c r="C420" s="291">
        <v>0.46875</v>
      </c>
      <c r="D420" s="291">
        <v>0.34722222222222227</v>
      </c>
      <c r="E420" s="291">
        <v>0.14930555555555555</v>
      </c>
      <c r="F420" s="291">
        <v>0.55208333333333337</v>
      </c>
      <c r="G420" s="291">
        <v>0.31597222222222221</v>
      </c>
      <c r="H420" s="291">
        <v>0.27777777777777779</v>
      </c>
      <c r="I420" s="291">
        <v>0.2638888888888889</v>
      </c>
      <c r="J420" s="291">
        <v>0.30902777777777779</v>
      </c>
      <c r="K420" s="291">
        <v>0.26597222222222222</v>
      </c>
      <c r="L420" s="291">
        <v>0.25347222222222221</v>
      </c>
      <c r="M420" s="291">
        <v>0.34097222222222223</v>
      </c>
      <c r="N420" s="375">
        <f t="shared" si="234"/>
        <v>3.822222222222222</v>
      </c>
      <c r="O420" s="375">
        <f t="shared" si="235"/>
        <v>0.31851851851851848</v>
      </c>
      <c r="P420" s="10"/>
      <c r="Q420" s="10"/>
      <c r="R420" s="10"/>
      <c r="S420" s="10"/>
      <c r="T420" s="10"/>
      <c r="U420" s="10"/>
      <c r="V420" s="10"/>
      <c r="W420" s="10"/>
      <c r="X420" s="10"/>
      <c r="Y420" s="10"/>
      <c r="Z420" s="10"/>
    </row>
    <row r="421" spans="1:26" s="9" customFormat="1" ht="15.75">
      <c r="A421" s="431" t="s">
        <v>720</v>
      </c>
      <c r="B421" s="291">
        <v>2.4305555555555556E-2</v>
      </c>
      <c r="C421" s="291">
        <v>0.24652777777777779</v>
      </c>
      <c r="D421" s="291">
        <v>7.2916666666666671E-2</v>
      </c>
      <c r="E421" s="291">
        <v>0</v>
      </c>
      <c r="F421" s="291">
        <v>0.23263888888888887</v>
      </c>
      <c r="G421" s="291">
        <v>0.1388888888888889</v>
      </c>
      <c r="H421" s="291">
        <v>5.9027777777777783E-2</v>
      </c>
      <c r="I421" s="291">
        <v>0.30555555555555552</v>
      </c>
      <c r="J421" s="291">
        <v>0.3611111111111111</v>
      </c>
      <c r="K421" s="291">
        <v>0.1875</v>
      </c>
      <c r="L421" s="291">
        <v>0.22222222222222221</v>
      </c>
      <c r="M421" s="291">
        <v>0.17013888888888887</v>
      </c>
      <c r="N421" s="375">
        <f t="shared" si="234"/>
        <v>2.0208333333333335</v>
      </c>
      <c r="O421" s="375">
        <f t="shared" si="235"/>
        <v>0.16840277777777779</v>
      </c>
      <c r="P421" s="10"/>
      <c r="Q421" s="10"/>
      <c r="R421" s="10"/>
      <c r="S421" s="10"/>
      <c r="T421" s="10"/>
      <c r="U421" s="10"/>
      <c r="V421" s="10"/>
      <c r="W421" s="10"/>
      <c r="X421" s="10"/>
      <c r="Y421" s="10"/>
      <c r="Z421" s="10"/>
    </row>
    <row r="422" spans="1:26" s="9" customFormat="1" ht="15.75">
      <c r="A422" s="431" t="s">
        <v>730</v>
      </c>
      <c r="B422" s="291">
        <v>0.99305555555555547</v>
      </c>
      <c r="C422" s="291">
        <v>0.72916666666666663</v>
      </c>
      <c r="D422" s="291">
        <v>0.84375</v>
      </c>
      <c r="E422" s="291">
        <v>0</v>
      </c>
      <c r="F422" s="291">
        <v>0</v>
      </c>
      <c r="G422" s="291">
        <v>1.5173611111111109</v>
      </c>
      <c r="H422" s="291">
        <v>2.09375</v>
      </c>
      <c r="I422" s="291">
        <v>3.8659722222222221</v>
      </c>
      <c r="J422" s="291">
        <v>2.6680555555555556</v>
      </c>
      <c r="K422" s="291">
        <v>2.693055555555556</v>
      </c>
      <c r="L422" s="291">
        <v>2.0798611111111112</v>
      </c>
      <c r="M422" s="291">
        <v>2.03125</v>
      </c>
      <c r="N422" s="375">
        <f t="shared" si="234"/>
        <v>19.515277777777779</v>
      </c>
      <c r="O422" s="375">
        <f t="shared" si="235"/>
        <v>1.6262731481481483</v>
      </c>
      <c r="P422" s="10"/>
      <c r="Q422" s="10"/>
      <c r="R422" s="10"/>
      <c r="S422" s="10"/>
      <c r="T422" s="10"/>
      <c r="U422" s="10"/>
      <c r="V422" s="10"/>
      <c r="W422" s="10"/>
      <c r="X422" s="10"/>
      <c r="Y422" s="10"/>
      <c r="Z422" s="10"/>
    </row>
    <row r="423" spans="1:26" s="9" customFormat="1" ht="15.75">
      <c r="A423" s="431" t="s">
        <v>102</v>
      </c>
      <c r="B423" s="291">
        <v>0.57291666666666663</v>
      </c>
      <c r="C423" s="291">
        <v>0.43402777777777773</v>
      </c>
      <c r="D423" s="291">
        <v>0.54166666666666663</v>
      </c>
      <c r="E423" s="291">
        <v>3.4722222222222224E-2</v>
      </c>
      <c r="F423" s="291">
        <v>0.3576388888888889</v>
      </c>
      <c r="G423" s="291">
        <v>0.67361111111111116</v>
      </c>
      <c r="H423" s="291">
        <v>0.49305555555555558</v>
      </c>
      <c r="I423" s="291">
        <v>0.4375</v>
      </c>
      <c r="J423" s="291">
        <v>0.55208333333333337</v>
      </c>
      <c r="K423" s="291">
        <v>0.49236111111111108</v>
      </c>
      <c r="L423" s="291">
        <v>0.48958333333333331</v>
      </c>
      <c r="M423" s="291">
        <v>0.40277777777777773</v>
      </c>
      <c r="N423" s="375">
        <f t="shared" si="234"/>
        <v>5.4819444444444443</v>
      </c>
      <c r="O423" s="375">
        <f t="shared" si="235"/>
        <v>0.45682870370370371</v>
      </c>
      <c r="P423" s="10"/>
      <c r="Q423" s="10"/>
      <c r="R423" s="10"/>
      <c r="S423" s="10"/>
      <c r="T423" s="10"/>
      <c r="U423" s="10"/>
      <c r="V423" s="10"/>
      <c r="W423" s="10"/>
      <c r="X423" s="10"/>
      <c r="Y423" s="10"/>
      <c r="Z423" s="10"/>
    </row>
    <row r="424" spans="1:26" s="9" customFormat="1" ht="15.75">
      <c r="A424" s="431" t="s">
        <v>731</v>
      </c>
      <c r="B424" s="291">
        <v>0</v>
      </c>
      <c r="C424" s="291">
        <v>0</v>
      </c>
      <c r="D424" s="291">
        <v>0</v>
      </c>
      <c r="E424" s="291">
        <v>0</v>
      </c>
      <c r="F424" s="291">
        <v>0</v>
      </c>
      <c r="G424" s="291">
        <v>0</v>
      </c>
      <c r="H424" s="291">
        <v>0</v>
      </c>
      <c r="I424" s="291">
        <v>0</v>
      </c>
      <c r="J424" s="291">
        <v>0</v>
      </c>
      <c r="K424" s="291">
        <v>0</v>
      </c>
      <c r="L424" s="291">
        <v>0</v>
      </c>
      <c r="M424" s="291">
        <v>0</v>
      </c>
      <c r="N424" s="375">
        <f t="shared" si="234"/>
        <v>0</v>
      </c>
      <c r="O424" s="375">
        <f t="shared" si="235"/>
        <v>0</v>
      </c>
      <c r="P424" s="10"/>
      <c r="Q424" s="10"/>
      <c r="R424" s="10"/>
      <c r="S424" s="10"/>
      <c r="T424" s="10"/>
      <c r="U424" s="10"/>
      <c r="V424" s="10"/>
      <c r="W424" s="10"/>
      <c r="X424" s="10"/>
      <c r="Y424" s="10"/>
      <c r="Z424" s="10"/>
    </row>
    <row r="425" spans="1:26" s="9" customFormat="1" ht="15.75">
      <c r="A425" s="431" t="s">
        <v>22</v>
      </c>
      <c r="B425" s="291">
        <v>2.4305555555555556E-2</v>
      </c>
      <c r="C425" s="291">
        <v>2.7777777777777776E-2</v>
      </c>
      <c r="D425" s="291">
        <v>3.8194444444444441E-2</v>
      </c>
      <c r="E425" s="291">
        <v>3.4722222222222224E-2</v>
      </c>
      <c r="F425" s="291">
        <v>3.8194444444444441E-2</v>
      </c>
      <c r="G425" s="291">
        <v>9.7222222222222224E-2</v>
      </c>
      <c r="H425" s="291">
        <v>1.8749999999999999E-2</v>
      </c>
      <c r="I425" s="291">
        <v>0</v>
      </c>
      <c r="J425" s="291">
        <v>2.4305555555555556E-2</v>
      </c>
      <c r="K425" s="291">
        <v>0</v>
      </c>
      <c r="L425" s="291">
        <v>4.1666666666666664E-2</v>
      </c>
      <c r="M425" s="291">
        <v>4.1666666666666664E-2</v>
      </c>
      <c r="N425" s="375">
        <f t="shared" si="234"/>
        <v>0.38680555555555557</v>
      </c>
      <c r="O425" s="375">
        <f t="shared" si="235"/>
        <v>3.2233796296296295E-2</v>
      </c>
      <c r="P425" s="10"/>
      <c r="Q425" s="10"/>
      <c r="R425" s="10"/>
      <c r="S425" s="10"/>
      <c r="T425" s="10"/>
      <c r="U425" s="10"/>
      <c r="V425" s="10"/>
      <c r="W425" s="10"/>
      <c r="X425" s="10"/>
      <c r="Y425" s="10"/>
      <c r="Z425" s="10"/>
    </row>
    <row r="426" spans="1:26" s="9" customFormat="1" ht="15.75">
      <c r="A426" s="67" t="s">
        <v>21</v>
      </c>
      <c r="B426" s="374">
        <f t="shared" ref="B426:I426" si="236">SUM(B413:B425)</f>
        <v>11.977777777777778</v>
      </c>
      <c r="C426" s="374">
        <f t="shared" si="236"/>
        <v>14.232638888888891</v>
      </c>
      <c r="D426" s="374">
        <f t="shared" si="236"/>
        <v>10.363888888888887</v>
      </c>
      <c r="E426" s="374">
        <f t="shared" si="236"/>
        <v>1.8986111111111115</v>
      </c>
      <c r="F426" s="374">
        <f t="shared" si="236"/>
        <v>12.514583333333334</v>
      </c>
      <c r="G426" s="374">
        <f t="shared" si="236"/>
        <v>15.707638888888887</v>
      </c>
      <c r="H426" s="374">
        <f t="shared" si="236"/>
        <v>16.15763888888889</v>
      </c>
      <c r="I426" s="374">
        <f t="shared" si="236"/>
        <v>19.656944444444445</v>
      </c>
      <c r="J426" s="374">
        <f t="shared" ref="J426:M426" si="237">SUM(J413:J425)</f>
        <v>14.371527777777779</v>
      </c>
      <c r="K426" s="374">
        <f t="shared" si="237"/>
        <v>14.868750000000002</v>
      </c>
      <c r="L426" s="374">
        <f t="shared" si="237"/>
        <v>14.405555555555553</v>
      </c>
      <c r="M426" s="374">
        <f t="shared" si="237"/>
        <v>12.171527777777778</v>
      </c>
      <c r="N426" s="374">
        <f t="shared" si="234"/>
        <v>158.32708333333338</v>
      </c>
      <c r="O426" s="374">
        <f t="shared" ref="O426" si="238">SUM(O413:O425)</f>
        <v>13.330655513468013</v>
      </c>
      <c r="P426" s="10"/>
      <c r="Q426" s="10"/>
      <c r="R426" s="10"/>
      <c r="S426" s="10"/>
      <c r="T426" s="10"/>
      <c r="U426" s="10"/>
      <c r="V426" s="10"/>
      <c r="W426" s="10"/>
      <c r="X426" s="10"/>
      <c r="Y426" s="10"/>
      <c r="Z426" s="10"/>
    </row>
    <row r="427" spans="1:26" s="347" customFormat="1" ht="15.75">
      <c r="A427" s="369"/>
      <c r="B427" s="370"/>
      <c r="C427" s="370"/>
      <c r="D427" s="370"/>
      <c r="E427" s="370"/>
      <c r="F427" s="370"/>
      <c r="G427" s="370"/>
      <c r="H427" s="370"/>
      <c r="I427" s="370"/>
      <c r="J427" s="370"/>
      <c r="K427" s="370"/>
      <c r="L427" s="370"/>
      <c r="M427" s="370"/>
      <c r="N427" s="371"/>
      <c r="O427" s="372"/>
      <c r="P427" s="346"/>
      <c r="Q427" s="346"/>
      <c r="R427" s="346"/>
      <c r="S427" s="346"/>
      <c r="T427" s="346"/>
      <c r="U427" s="346"/>
      <c r="V427" s="346"/>
      <c r="W427" s="346"/>
      <c r="X427" s="346"/>
      <c r="Y427" s="346"/>
      <c r="Z427" s="346"/>
    </row>
    <row r="428" spans="1:26" s="9" customFormat="1" ht="15.75">
      <c r="A428" s="342" t="s">
        <v>640</v>
      </c>
      <c r="B428" s="333">
        <v>4</v>
      </c>
      <c r="C428" s="333">
        <v>2</v>
      </c>
      <c r="D428" s="333">
        <v>1</v>
      </c>
      <c r="E428" s="333">
        <v>0</v>
      </c>
      <c r="F428" s="333">
        <v>2</v>
      </c>
      <c r="G428" s="333">
        <v>0</v>
      </c>
      <c r="H428" s="333">
        <v>0</v>
      </c>
      <c r="I428" s="333">
        <v>6</v>
      </c>
      <c r="J428" s="333">
        <v>10</v>
      </c>
      <c r="K428" s="333">
        <v>7</v>
      </c>
      <c r="L428" s="333">
        <v>0</v>
      </c>
      <c r="M428" s="333">
        <v>4</v>
      </c>
      <c r="N428" s="334">
        <f>SUM(B428:M428)</f>
        <v>36</v>
      </c>
      <c r="O428" s="335">
        <f>IF(N428=0,0,AVERAGE(B428:M428))</f>
        <v>3</v>
      </c>
      <c r="P428" s="10"/>
      <c r="Q428" s="10"/>
      <c r="R428" s="10"/>
      <c r="S428" s="10"/>
      <c r="T428" s="10"/>
      <c r="U428" s="10"/>
      <c r="V428" s="10"/>
      <c r="W428" s="10"/>
      <c r="X428" s="10"/>
      <c r="Y428" s="10"/>
      <c r="Z428" s="10"/>
    </row>
    <row r="429" spans="1:26" s="9" customFormat="1" ht="15.75">
      <c r="A429" s="369"/>
      <c r="B429" s="370"/>
      <c r="C429" s="370"/>
      <c r="D429" s="370"/>
      <c r="E429" s="370"/>
      <c r="F429" s="370"/>
      <c r="G429" s="370"/>
      <c r="H429" s="370"/>
      <c r="I429" s="370"/>
      <c r="J429" s="370"/>
      <c r="K429" s="370"/>
      <c r="L429" s="370"/>
      <c r="M429" s="370"/>
      <c r="N429" s="371"/>
      <c r="O429" s="372"/>
      <c r="P429" s="10"/>
      <c r="Q429" s="10"/>
      <c r="R429" s="10"/>
      <c r="S429" s="10"/>
      <c r="T429" s="10"/>
      <c r="U429" s="10"/>
      <c r="V429" s="10"/>
      <c r="W429" s="10"/>
      <c r="X429" s="10"/>
      <c r="Y429" s="10"/>
      <c r="Z429" s="10"/>
    </row>
    <row r="430" spans="1:26" s="9" customFormat="1" ht="15.75">
      <c r="A430" s="342" t="s">
        <v>641</v>
      </c>
      <c r="B430" s="333">
        <v>21</v>
      </c>
      <c r="C430" s="333">
        <v>32</v>
      </c>
      <c r="D430" s="333">
        <v>7</v>
      </c>
      <c r="E430" s="333">
        <v>4</v>
      </c>
      <c r="F430" s="333">
        <v>6</v>
      </c>
      <c r="G430" s="333">
        <v>12</v>
      </c>
      <c r="H430" s="333">
        <v>23</v>
      </c>
      <c r="I430" s="333">
        <v>15</v>
      </c>
      <c r="J430" s="333">
        <v>23</v>
      </c>
      <c r="K430" s="333">
        <v>31</v>
      </c>
      <c r="L430" s="333">
        <v>21</v>
      </c>
      <c r="M430" s="333">
        <v>33</v>
      </c>
      <c r="N430" s="334">
        <f>SUM(B430:M430)</f>
        <v>228</v>
      </c>
      <c r="O430" s="335">
        <f>IF(N430=0,0,AVERAGE(B430:M430))</f>
        <v>19</v>
      </c>
      <c r="P430" s="10"/>
      <c r="Q430" s="10"/>
      <c r="R430" s="10"/>
      <c r="S430" s="10"/>
      <c r="T430" s="10"/>
      <c r="U430" s="10"/>
      <c r="V430" s="10"/>
      <c r="W430" s="10"/>
      <c r="X430" s="10"/>
      <c r="Y430" s="10"/>
      <c r="Z430" s="10"/>
    </row>
    <row r="431" spans="1:26" s="9" customFormat="1" ht="15.75">
      <c r="A431" s="369"/>
      <c r="B431" s="370"/>
      <c r="C431" s="370"/>
      <c r="D431" s="370"/>
      <c r="E431" s="370"/>
      <c r="F431" s="370"/>
      <c r="G431" s="370"/>
      <c r="H431" s="370"/>
      <c r="I431" s="370"/>
      <c r="J431" s="370"/>
      <c r="K431" s="370"/>
      <c r="L431" s="370"/>
      <c r="M431" s="370"/>
      <c r="N431" s="371"/>
      <c r="O431" s="372"/>
      <c r="P431" s="10"/>
      <c r="Q431" s="10"/>
      <c r="R431" s="10"/>
      <c r="S431" s="10"/>
      <c r="T431" s="10"/>
      <c r="U431" s="10"/>
      <c r="V431" s="10"/>
      <c r="W431" s="10"/>
      <c r="X431" s="10"/>
      <c r="Y431" s="10"/>
      <c r="Z431" s="10"/>
    </row>
    <row r="432" spans="1:26" s="9" customFormat="1" ht="15.75">
      <c r="A432" s="377" t="s">
        <v>648</v>
      </c>
      <c r="B432" s="407"/>
      <c r="C432" s="407"/>
      <c r="D432" s="407"/>
      <c r="E432" s="407"/>
      <c r="F432" s="407"/>
      <c r="G432" s="407"/>
      <c r="H432" s="407"/>
      <c r="I432" s="407"/>
      <c r="J432" s="407"/>
      <c r="K432" s="407"/>
      <c r="L432" s="407"/>
      <c r="M432" s="407"/>
      <c r="N432" s="407"/>
      <c r="O432" s="408"/>
      <c r="P432" s="10"/>
      <c r="Q432" s="10"/>
      <c r="R432" s="10"/>
      <c r="S432" s="10"/>
      <c r="T432" s="10"/>
      <c r="U432" s="10"/>
      <c r="V432" s="10"/>
      <c r="W432" s="10"/>
      <c r="X432" s="10"/>
      <c r="Y432" s="10"/>
      <c r="Z432" s="10"/>
    </row>
    <row r="433" spans="1:26" s="9" customFormat="1" ht="30">
      <c r="A433" s="34" t="s">
        <v>642</v>
      </c>
      <c r="B433" s="348">
        <v>0</v>
      </c>
      <c r="C433" s="348">
        <v>0</v>
      </c>
      <c r="D433" s="348">
        <v>0</v>
      </c>
      <c r="E433" s="348">
        <v>0</v>
      </c>
      <c r="F433" s="348">
        <v>0</v>
      </c>
      <c r="G433" s="348">
        <v>0</v>
      </c>
      <c r="H433" s="348">
        <v>0</v>
      </c>
      <c r="I433" s="348">
        <v>0</v>
      </c>
      <c r="J433" s="415">
        <v>0</v>
      </c>
      <c r="K433" s="348">
        <v>0</v>
      </c>
      <c r="L433" s="348">
        <v>0</v>
      </c>
      <c r="M433" s="348">
        <v>0</v>
      </c>
      <c r="N433" s="133">
        <f t="shared" ref="N433:N435" si="239">SUM(B433:M433)</f>
        <v>0</v>
      </c>
      <c r="O433" s="19">
        <f t="shared" ref="O433:O435" si="240">IF(N433=0,0,AVERAGE(B433:M433))</f>
        <v>0</v>
      </c>
      <c r="P433" s="10"/>
      <c r="Q433" s="10"/>
      <c r="R433" s="10"/>
      <c r="S433" s="10"/>
      <c r="T433" s="10"/>
      <c r="U433" s="10"/>
      <c r="V433" s="10"/>
      <c r="W433" s="10"/>
      <c r="X433" s="10"/>
      <c r="Y433" s="10"/>
      <c r="Z433" s="10"/>
    </row>
    <row r="434" spans="1:26" s="9" customFormat="1" ht="15.75">
      <c r="A434" s="34" t="s">
        <v>698</v>
      </c>
      <c r="B434" s="348">
        <v>0</v>
      </c>
      <c r="C434" s="348">
        <v>0</v>
      </c>
      <c r="D434" s="348">
        <v>0</v>
      </c>
      <c r="E434" s="348">
        <v>0</v>
      </c>
      <c r="F434" s="348">
        <v>0</v>
      </c>
      <c r="G434" s="348">
        <v>0</v>
      </c>
      <c r="H434" s="348">
        <v>0</v>
      </c>
      <c r="I434" s="348">
        <v>0</v>
      </c>
      <c r="J434" s="348">
        <v>0</v>
      </c>
      <c r="K434" s="348">
        <v>0</v>
      </c>
      <c r="L434" s="348">
        <v>0</v>
      </c>
      <c r="M434" s="348">
        <v>0</v>
      </c>
      <c r="N434" s="133">
        <f t="shared" ref="N434" si="241">SUM(B434:M434)</f>
        <v>0</v>
      </c>
      <c r="O434" s="19">
        <f t="shared" ref="O434" si="242">IF(N434=0,0,AVERAGE(B434:M434))</f>
        <v>0</v>
      </c>
      <c r="P434" s="10"/>
      <c r="Q434" s="10"/>
      <c r="R434" s="10"/>
      <c r="S434" s="10"/>
      <c r="T434" s="10"/>
      <c r="U434" s="10"/>
      <c r="V434" s="10"/>
      <c r="W434" s="10"/>
      <c r="X434" s="10"/>
      <c r="Y434" s="10"/>
      <c r="Z434" s="10"/>
    </row>
    <row r="435" spans="1:26" s="9" customFormat="1" ht="30">
      <c r="A435" s="34" t="s">
        <v>677</v>
      </c>
      <c r="B435" s="348">
        <v>0</v>
      </c>
      <c r="C435" s="348">
        <v>0</v>
      </c>
      <c r="D435" s="348">
        <v>0</v>
      </c>
      <c r="E435" s="348">
        <v>0</v>
      </c>
      <c r="F435" s="348">
        <v>0</v>
      </c>
      <c r="G435" s="348">
        <v>0</v>
      </c>
      <c r="H435" s="348">
        <v>0</v>
      </c>
      <c r="I435" s="348">
        <v>0</v>
      </c>
      <c r="J435" s="348">
        <v>0</v>
      </c>
      <c r="K435" s="348">
        <v>0</v>
      </c>
      <c r="L435" s="348">
        <v>0</v>
      </c>
      <c r="M435" s="348">
        <v>0</v>
      </c>
      <c r="N435" s="133">
        <f t="shared" si="239"/>
        <v>0</v>
      </c>
      <c r="O435" s="19">
        <f t="shared" si="240"/>
        <v>0</v>
      </c>
      <c r="P435" s="10"/>
      <c r="Q435" s="10"/>
      <c r="R435" s="10"/>
      <c r="S435" s="10"/>
      <c r="T435" s="10"/>
      <c r="U435" s="10"/>
      <c r="V435" s="10"/>
      <c r="W435" s="10"/>
      <c r="X435" s="10"/>
      <c r="Y435" s="10"/>
      <c r="Z435" s="10"/>
    </row>
    <row r="436" spans="1:26" s="9" customFormat="1" ht="15.75">
      <c r="A436" s="34" t="s">
        <v>732</v>
      </c>
      <c r="B436" s="348">
        <v>1</v>
      </c>
      <c r="C436" s="348">
        <v>0</v>
      </c>
      <c r="D436" s="348">
        <v>0</v>
      </c>
      <c r="E436" s="348">
        <v>2</v>
      </c>
      <c r="F436" s="348">
        <v>0</v>
      </c>
      <c r="G436" s="348">
        <v>0</v>
      </c>
      <c r="H436" s="348">
        <v>0</v>
      </c>
      <c r="I436" s="348">
        <v>0</v>
      </c>
      <c r="J436" s="348">
        <v>1</v>
      </c>
      <c r="K436" s="348">
        <v>0</v>
      </c>
      <c r="L436" s="348">
        <v>0</v>
      </c>
      <c r="M436" s="348">
        <v>0</v>
      </c>
      <c r="N436" s="133"/>
      <c r="O436" s="19"/>
      <c r="P436" s="10"/>
      <c r="Q436" s="10"/>
      <c r="R436" s="10"/>
      <c r="S436" s="10"/>
      <c r="T436" s="10"/>
      <c r="U436" s="10"/>
      <c r="V436" s="10"/>
      <c r="W436" s="10"/>
      <c r="X436" s="10"/>
      <c r="Y436" s="10"/>
      <c r="Z436" s="10"/>
    </row>
    <row r="437" spans="1:26" s="9" customFormat="1" ht="15.75">
      <c r="A437" s="34" t="s">
        <v>643</v>
      </c>
      <c r="B437" s="348">
        <v>0</v>
      </c>
      <c r="C437" s="348">
        <v>0</v>
      </c>
      <c r="D437" s="348">
        <v>0</v>
      </c>
      <c r="E437" s="348">
        <v>0</v>
      </c>
      <c r="F437" s="348">
        <v>0</v>
      </c>
      <c r="G437" s="348">
        <v>1</v>
      </c>
      <c r="H437" s="348">
        <v>0</v>
      </c>
      <c r="I437" s="348">
        <v>0</v>
      </c>
      <c r="J437" s="348">
        <v>0</v>
      </c>
      <c r="K437" s="348">
        <v>0</v>
      </c>
      <c r="L437" s="348">
        <v>0</v>
      </c>
      <c r="M437" s="348">
        <v>1</v>
      </c>
      <c r="N437" s="133">
        <f t="shared" ref="N437:N443" si="243">SUM(B437:M437)</f>
        <v>2</v>
      </c>
      <c r="O437" s="19">
        <f t="shared" ref="O437:O443" si="244">IF(N437=0,0,AVERAGE(B437:M437))</f>
        <v>0.16666666666666666</v>
      </c>
      <c r="P437" s="10"/>
      <c r="Q437" s="10"/>
      <c r="R437" s="10"/>
      <c r="S437" s="10"/>
      <c r="T437" s="10"/>
      <c r="U437" s="10"/>
      <c r="V437" s="10"/>
      <c r="W437" s="10"/>
      <c r="X437" s="10"/>
      <c r="Y437" s="10"/>
      <c r="Z437" s="10"/>
    </row>
    <row r="438" spans="1:26" s="9" customFormat="1" ht="30">
      <c r="A438" s="34" t="s">
        <v>676</v>
      </c>
      <c r="B438" s="348">
        <v>0</v>
      </c>
      <c r="C438" s="348">
        <v>0</v>
      </c>
      <c r="D438" s="348">
        <v>0</v>
      </c>
      <c r="E438" s="348">
        <v>0</v>
      </c>
      <c r="F438" s="348">
        <v>0</v>
      </c>
      <c r="G438" s="348">
        <v>0</v>
      </c>
      <c r="H438" s="348">
        <v>0</v>
      </c>
      <c r="I438" s="348">
        <v>0</v>
      </c>
      <c r="J438" s="348">
        <v>0</v>
      </c>
      <c r="K438" s="348">
        <v>0</v>
      </c>
      <c r="L438" s="348">
        <v>0</v>
      </c>
      <c r="M438" s="348">
        <v>0</v>
      </c>
      <c r="N438" s="133">
        <f t="shared" si="243"/>
        <v>0</v>
      </c>
      <c r="O438" s="19">
        <f t="shared" si="244"/>
        <v>0</v>
      </c>
      <c r="P438" s="10"/>
      <c r="Q438" s="10"/>
      <c r="R438" s="10"/>
      <c r="S438" s="10"/>
      <c r="T438" s="10"/>
      <c r="U438" s="10"/>
      <c r="V438" s="10"/>
      <c r="W438" s="10"/>
      <c r="X438" s="10"/>
      <c r="Y438" s="10"/>
      <c r="Z438" s="10"/>
    </row>
    <row r="439" spans="1:26" s="9" customFormat="1" ht="30">
      <c r="A439" s="34" t="s">
        <v>678</v>
      </c>
      <c r="B439" s="348">
        <v>1</v>
      </c>
      <c r="C439" s="348">
        <v>0</v>
      </c>
      <c r="D439" s="348">
        <v>0</v>
      </c>
      <c r="E439" s="348">
        <v>0</v>
      </c>
      <c r="F439" s="348">
        <v>2</v>
      </c>
      <c r="G439" s="348">
        <v>1</v>
      </c>
      <c r="H439" s="348">
        <v>2</v>
      </c>
      <c r="I439" s="348">
        <v>0</v>
      </c>
      <c r="J439" s="348">
        <v>0</v>
      </c>
      <c r="K439" s="348">
        <v>0</v>
      </c>
      <c r="L439" s="348">
        <v>0</v>
      </c>
      <c r="M439" s="348">
        <v>1</v>
      </c>
      <c r="N439" s="133">
        <f t="shared" si="243"/>
        <v>7</v>
      </c>
      <c r="O439" s="19">
        <f t="shared" si="244"/>
        <v>0.58333333333333337</v>
      </c>
      <c r="P439" s="10"/>
      <c r="Q439" s="10"/>
      <c r="R439" s="10"/>
      <c r="S439" s="10"/>
      <c r="T439" s="10"/>
      <c r="U439" s="10"/>
      <c r="V439" s="10"/>
      <c r="W439" s="10"/>
      <c r="X439" s="10"/>
      <c r="Y439" s="10"/>
      <c r="Z439" s="10"/>
    </row>
    <row r="440" spans="1:26" s="9" customFormat="1" ht="15.75">
      <c r="A440" s="34" t="s">
        <v>674</v>
      </c>
      <c r="B440" s="348">
        <v>2</v>
      </c>
      <c r="C440" s="348">
        <v>3</v>
      </c>
      <c r="D440" s="348">
        <v>3</v>
      </c>
      <c r="E440" s="348">
        <v>0</v>
      </c>
      <c r="F440" s="348">
        <v>2</v>
      </c>
      <c r="G440" s="348">
        <v>3</v>
      </c>
      <c r="H440" s="348">
        <v>6</v>
      </c>
      <c r="I440" s="348">
        <v>6</v>
      </c>
      <c r="J440" s="348">
        <v>9</v>
      </c>
      <c r="K440" s="348">
        <v>5</v>
      </c>
      <c r="L440" s="348">
        <v>2</v>
      </c>
      <c r="M440" s="348">
        <v>5</v>
      </c>
      <c r="N440" s="133">
        <f t="shared" si="243"/>
        <v>46</v>
      </c>
      <c r="O440" s="19">
        <f t="shared" si="244"/>
        <v>3.8333333333333335</v>
      </c>
      <c r="P440" s="10"/>
      <c r="Q440" s="10"/>
      <c r="R440" s="10"/>
      <c r="S440" s="10"/>
      <c r="T440" s="10"/>
      <c r="U440" s="10"/>
      <c r="V440" s="10"/>
      <c r="W440" s="10"/>
      <c r="X440" s="10"/>
      <c r="Y440" s="10"/>
      <c r="Z440" s="10"/>
    </row>
    <row r="441" spans="1:26" s="9" customFormat="1" ht="15.75">
      <c r="A441" s="34" t="s">
        <v>675</v>
      </c>
      <c r="B441" s="348">
        <v>0</v>
      </c>
      <c r="C441" s="348">
        <v>0</v>
      </c>
      <c r="D441" s="348">
        <v>0</v>
      </c>
      <c r="E441" s="348">
        <v>0</v>
      </c>
      <c r="F441" s="348">
        <v>0</v>
      </c>
      <c r="G441" s="348">
        <v>0</v>
      </c>
      <c r="H441" s="348">
        <v>0</v>
      </c>
      <c r="I441" s="348">
        <v>0</v>
      </c>
      <c r="J441" s="348">
        <v>0</v>
      </c>
      <c r="K441" s="348">
        <v>0</v>
      </c>
      <c r="L441" s="348">
        <v>0</v>
      </c>
      <c r="M441" s="348">
        <v>0</v>
      </c>
      <c r="N441" s="133">
        <f t="shared" si="243"/>
        <v>0</v>
      </c>
      <c r="O441" s="19">
        <f t="shared" si="244"/>
        <v>0</v>
      </c>
      <c r="P441" s="10"/>
      <c r="Q441" s="10"/>
      <c r="R441" s="10"/>
      <c r="S441" s="10"/>
      <c r="T441" s="10"/>
      <c r="U441" s="10"/>
      <c r="V441" s="10"/>
      <c r="W441" s="10"/>
      <c r="X441" s="10"/>
      <c r="Y441" s="10"/>
      <c r="Z441" s="10"/>
    </row>
    <row r="442" spans="1:26" s="9" customFormat="1" ht="15.75">
      <c r="A442" s="37" t="s">
        <v>644</v>
      </c>
      <c r="B442" s="348">
        <v>0</v>
      </c>
      <c r="C442" s="348">
        <v>0</v>
      </c>
      <c r="D442" s="348">
        <v>0</v>
      </c>
      <c r="E442" s="348">
        <v>1</v>
      </c>
      <c r="F442" s="348">
        <v>0</v>
      </c>
      <c r="G442" s="348">
        <v>0</v>
      </c>
      <c r="H442" s="348">
        <v>0</v>
      </c>
      <c r="I442" s="348">
        <v>0</v>
      </c>
      <c r="J442" s="348">
        <v>0</v>
      </c>
      <c r="K442" s="348">
        <v>0</v>
      </c>
      <c r="L442" s="348">
        <v>0</v>
      </c>
      <c r="M442" s="348">
        <v>0</v>
      </c>
      <c r="N442" s="133">
        <f t="shared" si="243"/>
        <v>1</v>
      </c>
      <c r="O442" s="19">
        <f t="shared" si="244"/>
        <v>8.3333333333333329E-2</v>
      </c>
      <c r="P442" s="10"/>
      <c r="Q442" s="10"/>
      <c r="R442" s="10"/>
      <c r="S442" s="10"/>
      <c r="T442" s="10"/>
      <c r="U442" s="10"/>
      <c r="V442" s="10"/>
      <c r="W442" s="10"/>
      <c r="X442" s="10"/>
      <c r="Y442" s="10"/>
      <c r="Z442" s="10"/>
    </row>
    <row r="443" spans="1:26" s="9" customFormat="1" ht="15.75">
      <c r="A443" s="64" t="s">
        <v>22</v>
      </c>
      <c r="B443" s="348">
        <v>0</v>
      </c>
      <c r="C443" s="348">
        <v>1</v>
      </c>
      <c r="D443" s="348">
        <v>1</v>
      </c>
      <c r="E443" s="348">
        <v>2</v>
      </c>
      <c r="F443" s="348">
        <v>3</v>
      </c>
      <c r="G443" s="348">
        <v>2</v>
      </c>
      <c r="H443" s="348">
        <v>1</v>
      </c>
      <c r="I443" s="348">
        <v>5</v>
      </c>
      <c r="J443" s="348">
        <v>4</v>
      </c>
      <c r="K443" s="348">
        <v>3</v>
      </c>
      <c r="L443" s="348">
        <v>5</v>
      </c>
      <c r="M443" s="348">
        <v>9</v>
      </c>
      <c r="N443" s="143">
        <f t="shared" si="243"/>
        <v>36</v>
      </c>
      <c r="O443" s="66">
        <f t="shared" si="244"/>
        <v>3</v>
      </c>
      <c r="P443" s="10"/>
      <c r="Q443" s="10"/>
      <c r="R443" s="10"/>
      <c r="S443" s="10"/>
      <c r="T443" s="10"/>
      <c r="U443" s="10"/>
      <c r="V443" s="10"/>
      <c r="W443" s="10"/>
      <c r="X443" s="10"/>
      <c r="Y443" s="10"/>
      <c r="Z443" s="10"/>
    </row>
    <row r="444" spans="1:26" s="9" customFormat="1" ht="15.75">
      <c r="A444" s="67" t="s">
        <v>21</v>
      </c>
      <c r="B444" s="44">
        <f t="shared" ref="B444:M444" si="245">SUM(B433:B443)</f>
        <v>4</v>
      </c>
      <c r="C444" s="44">
        <f t="shared" si="245"/>
        <v>4</v>
      </c>
      <c r="D444" s="44">
        <f t="shared" si="245"/>
        <v>4</v>
      </c>
      <c r="E444" s="44">
        <f t="shared" si="245"/>
        <v>5</v>
      </c>
      <c r="F444" s="44">
        <f t="shared" si="245"/>
        <v>7</v>
      </c>
      <c r="G444" s="44">
        <f t="shared" si="245"/>
        <v>7</v>
      </c>
      <c r="H444" s="44">
        <f t="shared" si="245"/>
        <v>9</v>
      </c>
      <c r="I444" s="44">
        <f t="shared" si="245"/>
        <v>11</v>
      </c>
      <c r="J444" s="44">
        <f t="shared" si="245"/>
        <v>14</v>
      </c>
      <c r="K444" s="44">
        <f t="shared" si="245"/>
        <v>8</v>
      </c>
      <c r="L444" s="44">
        <f t="shared" si="245"/>
        <v>7</v>
      </c>
      <c r="M444" s="44">
        <f t="shared" si="245"/>
        <v>16</v>
      </c>
      <c r="N444" s="139">
        <f>SUM(N433:N443)</f>
        <v>92</v>
      </c>
      <c r="O444" s="45">
        <f>SUM(O433:O443)</f>
        <v>7.666666666666667</v>
      </c>
      <c r="P444" s="10"/>
      <c r="Q444" s="10"/>
      <c r="R444" s="10"/>
      <c r="S444" s="10"/>
      <c r="T444" s="10"/>
      <c r="U444" s="10"/>
      <c r="V444" s="10"/>
      <c r="W444" s="10"/>
      <c r="X444" s="10"/>
      <c r="Y444" s="10"/>
      <c r="Z444" s="10"/>
    </row>
    <row r="445" spans="1:26" s="9" customFormat="1" ht="15.75">
      <c r="A445" s="344"/>
      <c r="B445" s="345"/>
      <c r="C445" s="345"/>
      <c r="D445" s="345"/>
      <c r="E445" s="345"/>
      <c r="F445" s="345"/>
      <c r="G445" s="345"/>
      <c r="H445" s="345"/>
      <c r="I445" s="345"/>
      <c r="J445" s="345"/>
      <c r="K445" s="345"/>
      <c r="L445" s="345"/>
      <c r="M445" s="345"/>
      <c r="N445" s="155"/>
      <c r="O445" s="125"/>
      <c r="P445" s="10"/>
      <c r="Q445" s="10"/>
      <c r="R445" s="10"/>
      <c r="S445" s="10"/>
      <c r="T445" s="10"/>
      <c r="U445" s="10"/>
      <c r="V445" s="10"/>
      <c r="W445" s="10"/>
      <c r="X445" s="10"/>
      <c r="Y445" s="10"/>
      <c r="Z445" s="10"/>
    </row>
    <row r="446" spans="1:26" s="9" customFormat="1" ht="15.75">
      <c r="A446" s="161" t="s">
        <v>103</v>
      </c>
      <c r="B446" s="172"/>
      <c r="C446" s="172"/>
      <c r="D446" s="172"/>
      <c r="E446" s="172"/>
      <c r="F446" s="172"/>
      <c r="G446" s="172"/>
      <c r="H446" s="172"/>
      <c r="I446" s="172"/>
      <c r="J446" s="172"/>
      <c r="K446" s="172"/>
      <c r="L446" s="172"/>
      <c r="M446" s="172"/>
      <c r="N446" s="172"/>
      <c r="O446" s="246"/>
      <c r="P446" s="8"/>
      <c r="Q446" s="8"/>
      <c r="R446" s="8"/>
      <c r="S446" s="8"/>
      <c r="T446" s="8"/>
      <c r="U446" s="8"/>
      <c r="V446" s="8"/>
      <c r="W446" s="8"/>
      <c r="X446" s="8"/>
      <c r="Y446" s="8"/>
      <c r="Z446" s="8"/>
    </row>
    <row r="447" spans="1:26" s="9" customFormat="1" ht="15.75">
      <c r="A447" s="71" t="s">
        <v>104</v>
      </c>
      <c r="B447" s="72"/>
      <c r="C447" s="72"/>
      <c r="D447" s="72"/>
      <c r="E447" s="72"/>
      <c r="F447" s="72"/>
      <c r="G447" s="72"/>
      <c r="H447" s="72"/>
      <c r="I447" s="72"/>
      <c r="J447" s="72"/>
      <c r="K447" s="72"/>
      <c r="L447" s="72"/>
      <c r="M447" s="72"/>
      <c r="N447" s="145"/>
      <c r="O447" s="247"/>
      <c r="P447" s="8"/>
      <c r="Q447" s="8"/>
      <c r="R447" s="8"/>
      <c r="S447" s="8"/>
      <c r="T447" s="8"/>
      <c r="U447" s="8"/>
      <c r="V447" s="8"/>
      <c r="W447" s="8"/>
      <c r="X447" s="8"/>
      <c r="Y447" s="8"/>
      <c r="Z447" s="8"/>
    </row>
    <row r="448" spans="1:26" s="9" customFormat="1" ht="15.75">
      <c r="A448" s="34" t="s">
        <v>105</v>
      </c>
      <c r="B448" s="18">
        <v>0</v>
      </c>
      <c r="C448" s="18">
        <v>0</v>
      </c>
      <c r="D448" s="18">
        <v>0</v>
      </c>
      <c r="E448" s="18">
        <v>0</v>
      </c>
      <c r="F448" s="18">
        <v>0</v>
      </c>
      <c r="G448" s="18">
        <v>0</v>
      </c>
      <c r="H448" s="18">
        <v>0</v>
      </c>
      <c r="I448" s="18">
        <v>0</v>
      </c>
      <c r="J448" s="81">
        <v>0</v>
      </c>
      <c r="K448" s="18">
        <v>0</v>
      </c>
      <c r="L448" s="18">
        <v>0</v>
      </c>
      <c r="M448" s="18">
        <v>0</v>
      </c>
      <c r="N448" s="133">
        <f t="shared" ref="N448:N456" si="246">SUM(B448:M448)</f>
        <v>0</v>
      </c>
      <c r="O448" s="19">
        <f t="shared" ref="O448:O456" si="247">IF(N448=0,0,AVERAGE(B448:M448))</f>
        <v>0</v>
      </c>
      <c r="P448" s="8"/>
      <c r="Q448" s="8"/>
      <c r="R448" s="8"/>
      <c r="S448" s="8"/>
      <c r="T448" s="8"/>
      <c r="U448" s="8"/>
      <c r="V448" s="8"/>
      <c r="W448" s="8"/>
      <c r="X448" s="8"/>
      <c r="Y448" s="8"/>
      <c r="Z448" s="8"/>
    </row>
    <row r="449" spans="1:26" s="9" customFormat="1" ht="15.75">
      <c r="A449" s="34" t="s">
        <v>106</v>
      </c>
      <c r="B449" s="18">
        <v>10</v>
      </c>
      <c r="C449" s="18">
        <v>12</v>
      </c>
      <c r="D449" s="18">
        <v>4</v>
      </c>
      <c r="E449" s="18">
        <v>2</v>
      </c>
      <c r="F449" s="18">
        <v>6</v>
      </c>
      <c r="G449" s="18">
        <v>11</v>
      </c>
      <c r="H449" s="18">
        <v>12</v>
      </c>
      <c r="I449" s="18">
        <v>15</v>
      </c>
      <c r="J449" s="81">
        <v>8</v>
      </c>
      <c r="K449" s="18">
        <v>18</v>
      </c>
      <c r="L449" s="18">
        <v>24</v>
      </c>
      <c r="M449" s="18">
        <v>32</v>
      </c>
      <c r="N449" s="133">
        <f t="shared" si="246"/>
        <v>154</v>
      </c>
      <c r="O449" s="19">
        <f t="shared" si="247"/>
        <v>12.833333333333334</v>
      </c>
      <c r="P449" s="10"/>
      <c r="Q449" s="10"/>
      <c r="R449" s="10"/>
      <c r="S449" s="10"/>
      <c r="T449" s="10"/>
      <c r="U449" s="10"/>
      <c r="V449" s="10"/>
      <c r="W449" s="10"/>
      <c r="X449" s="10"/>
      <c r="Y449" s="10"/>
      <c r="Z449" s="10"/>
    </row>
    <row r="450" spans="1:26" s="9" customFormat="1" ht="15.75">
      <c r="A450" s="34" t="s">
        <v>47</v>
      </c>
      <c r="B450" s="18">
        <f>95+15</f>
        <v>110</v>
      </c>
      <c r="C450" s="18">
        <v>93</v>
      </c>
      <c r="D450" s="18">
        <v>57</v>
      </c>
      <c r="E450" s="18">
        <v>9</v>
      </c>
      <c r="F450" s="18">
        <v>86</v>
      </c>
      <c r="G450" s="18">
        <v>98</v>
      </c>
      <c r="H450" s="18">
        <v>71</v>
      </c>
      <c r="I450" s="18">
        <v>118</v>
      </c>
      <c r="J450" s="81">
        <v>114</v>
      </c>
      <c r="K450" s="18">
        <v>103</v>
      </c>
      <c r="L450" s="18">
        <v>99</v>
      </c>
      <c r="M450" s="18">
        <v>102</v>
      </c>
      <c r="N450" s="133">
        <f t="shared" si="246"/>
        <v>1060</v>
      </c>
      <c r="O450" s="19">
        <f t="shared" si="247"/>
        <v>88.333333333333329</v>
      </c>
      <c r="P450" s="10"/>
      <c r="Q450" s="10"/>
      <c r="R450" s="10"/>
      <c r="S450" s="10"/>
      <c r="T450" s="10"/>
      <c r="U450" s="10"/>
      <c r="V450" s="10"/>
      <c r="W450" s="10"/>
      <c r="X450" s="10"/>
      <c r="Y450" s="10"/>
      <c r="Z450" s="10"/>
    </row>
    <row r="451" spans="1:26" s="9" customFormat="1" ht="15.75">
      <c r="A451" s="34" t="s">
        <v>107</v>
      </c>
      <c r="B451" s="18">
        <v>33</v>
      </c>
      <c r="C451" s="18">
        <v>51</v>
      </c>
      <c r="D451" s="18">
        <v>21</v>
      </c>
      <c r="E451" s="18">
        <v>6</v>
      </c>
      <c r="F451" s="18">
        <v>48</v>
      </c>
      <c r="G451" s="18">
        <v>45</v>
      </c>
      <c r="H451" s="18">
        <v>32</v>
      </c>
      <c r="I451" s="18">
        <v>33</v>
      </c>
      <c r="J451" s="18">
        <v>57</v>
      </c>
      <c r="K451" s="18">
        <v>39</v>
      </c>
      <c r="L451" s="18">
        <v>37</v>
      </c>
      <c r="M451" s="18">
        <v>55</v>
      </c>
      <c r="N451" s="133">
        <f t="shared" si="246"/>
        <v>457</v>
      </c>
      <c r="O451" s="19">
        <f t="shared" si="247"/>
        <v>38.083333333333336</v>
      </c>
      <c r="P451" s="10"/>
      <c r="Q451" s="10"/>
      <c r="R451" s="10"/>
      <c r="S451" s="10"/>
      <c r="T451" s="10"/>
      <c r="U451" s="10"/>
      <c r="V451" s="10"/>
      <c r="W451" s="10"/>
      <c r="X451" s="10"/>
      <c r="Y451" s="10"/>
      <c r="Z451" s="10"/>
    </row>
    <row r="452" spans="1:26" s="9" customFormat="1" ht="15.75">
      <c r="A452" s="34" t="s">
        <v>108</v>
      </c>
      <c r="B452" s="18">
        <v>68</v>
      </c>
      <c r="C452" s="18">
        <v>70</v>
      </c>
      <c r="D452" s="18">
        <v>38</v>
      </c>
      <c r="E452" s="18">
        <v>36</v>
      </c>
      <c r="F452" s="18">
        <v>83</v>
      </c>
      <c r="G452" s="18">
        <v>76</v>
      </c>
      <c r="H452" s="18">
        <v>75</v>
      </c>
      <c r="I452" s="18">
        <v>72</v>
      </c>
      <c r="J452" s="18">
        <v>66</v>
      </c>
      <c r="K452" s="18">
        <v>71</v>
      </c>
      <c r="L452" s="18">
        <v>76</v>
      </c>
      <c r="M452" s="18">
        <v>63</v>
      </c>
      <c r="N452" s="133">
        <f t="shared" si="246"/>
        <v>794</v>
      </c>
      <c r="O452" s="19">
        <f t="shared" si="247"/>
        <v>66.166666666666671</v>
      </c>
      <c r="P452" s="10"/>
      <c r="Q452" s="10"/>
      <c r="R452" s="10"/>
      <c r="S452" s="10"/>
      <c r="T452" s="10"/>
      <c r="U452" s="10"/>
      <c r="V452" s="10"/>
      <c r="W452" s="10"/>
      <c r="X452" s="10"/>
      <c r="Y452" s="10"/>
      <c r="Z452" s="10"/>
    </row>
    <row r="453" spans="1:26" s="9" customFormat="1" ht="15.75">
      <c r="A453" s="34" t="s">
        <v>109</v>
      </c>
      <c r="B453" s="18">
        <v>0</v>
      </c>
      <c r="C453" s="18">
        <v>0</v>
      </c>
      <c r="D453" s="18">
        <v>0</v>
      </c>
      <c r="E453" s="18">
        <v>0</v>
      </c>
      <c r="F453" s="18">
        <v>0</v>
      </c>
      <c r="G453" s="18">
        <v>0</v>
      </c>
      <c r="H453" s="18">
        <v>0</v>
      </c>
      <c r="I453" s="18">
        <v>0</v>
      </c>
      <c r="J453" s="18">
        <v>0</v>
      </c>
      <c r="K453" s="18">
        <v>0</v>
      </c>
      <c r="L453" s="18">
        <v>0</v>
      </c>
      <c r="M453" s="18">
        <v>0</v>
      </c>
      <c r="N453" s="133">
        <f t="shared" si="246"/>
        <v>0</v>
      </c>
      <c r="O453" s="19">
        <f t="shared" si="247"/>
        <v>0</v>
      </c>
      <c r="P453" s="10"/>
      <c r="Q453" s="10"/>
      <c r="R453" s="10"/>
      <c r="S453" s="10"/>
      <c r="T453" s="10"/>
      <c r="U453" s="10"/>
      <c r="V453" s="10"/>
      <c r="W453" s="10"/>
      <c r="X453" s="10"/>
      <c r="Y453" s="10"/>
      <c r="Z453" s="10"/>
    </row>
    <row r="454" spans="1:26" s="9" customFormat="1" ht="15.75">
      <c r="A454" s="34" t="s">
        <v>110</v>
      </c>
      <c r="B454" s="18">
        <v>79</v>
      </c>
      <c r="C454" s="18">
        <v>96</v>
      </c>
      <c r="D454" s="18">
        <v>39</v>
      </c>
      <c r="E454" s="18">
        <v>35</v>
      </c>
      <c r="F454" s="18">
        <v>89</v>
      </c>
      <c r="G454" s="18">
        <v>83</v>
      </c>
      <c r="H454" s="18">
        <v>103</v>
      </c>
      <c r="I454" s="18">
        <v>79</v>
      </c>
      <c r="J454" s="18">
        <v>85</v>
      </c>
      <c r="K454" s="18">
        <v>89</v>
      </c>
      <c r="L454" s="18">
        <v>87</v>
      </c>
      <c r="M454" s="18">
        <v>95</v>
      </c>
      <c r="N454" s="133">
        <f t="shared" si="246"/>
        <v>959</v>
      </c>
      <c r="O454" s="19">
        <f t="shared" si="247"/>
        <v>79.916666666666671</v>
      </c>
      <c r="P454" s="8"/>
      <c r="Q454" s="8"/>
      <c r="R454" s="8"/>
      <c r="S454" s="8"/>
      <c r="T454" s="8"/>
      <c r="U454" s="8"/>
      <c r="V454" s="8"/>
      <c r="W454" s="8"/>
      <c r="X454" s="8"/>
      <c r="Y454" s="8"/>
      <c r="Z454" s="8"/>
    </row>
    <row r="455" spans="1:26" s="9" customFormat="1" ht="15.75">
      <c r="A455" s="34" t="s">
        <v>111</v>
      </c>
      <c r="B455" s="18">
        <v>0</v>
      </c>
      <c r="C455" s="18">
        <v>0</v>
      </c>
      <c r="D455" s="18">
        <v>0</v>
      </c>
      <c r="E455" s="18">
        <v>0</v>
      </c>
      <c r="F455" s="18">
        <v>0</v>
      </c>
      <c r="G455" s="18">
        <v>0</v>
      </c>
      <c r="H455" s="18">
        <v>0</v>
      </c>
      <c r="I455" s="18">
        <v>0</v>
      </c>
      <c r="J455" s="18">
        <v>0</v>
      </c>
      <c r="K455" s="18">
        <v>0</v>
      </c>
      <c r="L455" s="18">
        <v>0</v>
      </c>
      <c r="M455" s="18">
        <v>0</v>
      </c>
      <c r="N455" s="133">
        <f t="shared" si="246"/>
        <v>0</v>
      </c>
      <c r="O455" s="19">
        <f t="shared" si="247"/>
        <v>0</v>
      </c>
      <c r="P455" s="8"/>
      <c r="Q455" s="8"/>
      <c r="R455" s="8"/>
      <c r="S455" s="8"/>
      <c r="T455" s="8"/>
      <c r="U455" s="8"/>
      <c r="V455" s="8"/>
      <c r="W455" s="8"/>
      <c r="X455" s="8"/>
      <c r="Y455" s="8"/>
      <c r="Z455" s="8"/>
    </row>
    <row r="456" spans="1:26" s="9" customFormat="1" ht="15.75">
      <c r="A456" s="56" t="s">
        <v>21</v>
      </c>
      <c r="B456" s="21">
        <f t="shared" ref="B456:C456" si="248">SUM(B448:B455)</f>
        <v>300</v>
      </c>
      <c r="C456" s="21">
        <f t="shared" si="248"/>
        <v>322</v>
      </c>
      <c r="D456" s="21">
        <f t="shared" ref="D456:E456" si="249">SUM(D448:D455)</f>
        <v>159</v>
      </c>
      <c r="E456" s="21">
        <f t="shared" si="249"/>
        <v>88</v>
      </c>
      <c r="F456" s="21">
        <f t="shared" ref="F456:G456" si="250">SUM(F448:F455)</f>
        <v>312</v>
      </c>
      <c r="G456" s="21">
        <f t="shared" si="250"/>
        <v>313</v>
      </c>
      <c r="H456" s="21">
        <f t="shared" ref="H456:I456" si="251">SUM(H448:H455)</f>
        <v>293</v>
      </c>
      <c r="I456" s="21">
        <f t="shared" si="251"/>
        <v>317</v>
      </c>
      <c r="J456" s="21">
        <f t="shared" ref="J456:K456" si="252">SUM(J448:J455)</f>
        <v>330</v>
      </c>
      <c r="K456" s="21">
        <f t="shared" si="252"/>
        <v>320</v>
      </c>
      <c r="L456" s="21">
        <f t="shared" ref="L456:M456" si="253">SUM(L448:L455)</f>
        <v>323</v>
      </c>
      <c r="M456" s="21">
        <f t="shared" si="253"/>
        <v>347</v>
      </c>
      <c r="N456" s="128">
        <f t="shared" si="246"/>
        <v>3424</v>
      </c>
      <c r="O456" s="22">
        <f t="shared" si="247"/>
        <v>285.33333333333331</v>
      </c>
      <c r="P456" s="8"/>
      <c r="Q456" s="8"/>
      <c r="R456" s="8"/>
      <c r="S456" s="8"/>
      <c r="T456" s="8"/>
      <c r="U456" s="8"/>
      <c r="V456" s="8"/>
      <c r="W456" s="8"/>
      <c r="X456" s="8"/>
      <c r="Y456" s="8"/>
      <c r="Z456" s="8"/>
    </row>
    <row r="457" spans="1:26" s="9" customFormat="1" ht="15.75">
      <c r="A457" s="56" t="s">
        <v>112</v>
      </c>
      <c r="B457" s="22">
        <f t="shared" ref="B457:G457" si="254">IF(B456=0,"",B456/B1676)</f>
        <v>9.67741935483871</v>
      </c>
      <c r="C457" s="22">
        <f t="shared" si="254"/>
        <v>11.5</v>
      </c>
      <c r="D457" s="22">
        <f t="shared" si="254"/>
        <v>5.129032258064516</v>
      </c>
      <c r="E457" s="22">
        <f t="shared" si="254"/>
        <v>2.9333333333333331</v>
      </c>
      <c r="F457" s="22">
        <f t="shared" si="254"/>
        <v>10.064516129032258</v>
      </c>
      <c r="G457" s="22">
        <f t="shared" si="254"/>
        <v>10.433333333333334</v>
      </c>
      <c r="H457" s="22">
        <f t="shared" ref="H457:I457" si="255">IF(H456=0,"",H456/H1676)</f>
        <v>9.4516129032258061</v>
      </c>
      <c r="I457" s="22">
        <f t="shared" si="255"/>
        <v>10.225806451612904</v>
      </c>
      <c r="J457" s="22">
        <f t="shared" ref="J457:K457" si="256">IF(J456=0,"",J456/J1676)</f>
        <v>11</v>
      </c>
      <c r="K457" s="22">
        <f t="shared" si="256"/>
        <v>10.32258064516129</v>
      </c>
      <c r="L457" s="22">
        <f t="shared" ref="L457:M457" si="257">IF(L456=0,"",L456/L1676)</f>
        <v>10.766666666666667</v>
      </c>
      <c r="M457" s="22">
        <f t="shared" si="257"/>
        <v>11.193548387096774</v>
      </c>
      <c r="N457" s="128">
        <f>SUM(B457:M457)</f>
        <v>112.69784946236558</v>
      </c>
      <c r="O457" s="22">
        <f>IF(N457=0,0,AVERAGE(B457:M457))</f>
        <v>9.3914874551971312</v>
      </c>
      <c r="P457" s="8"/>
      <c r="Q457" s="8"/>
      <c r="R457" s="8"/>
      <c r="S457" s="8"/>
      <c r="T457" s="8"/>
      <c r="U457" s="8"/>
      <c r="V457" s="8"/>
      <c r="W457" s="8"/>
      <c r="X457" s="8"/>
      <c r="Y457" s="8"/>
      <c r="Z457" s="8"/>
    </row>
    <row r="458" spans="1:26" s="9" customFormat="1" ht="15.75">
      <c r="A458" s="23"/>
      <c r="B458" s="24"/>
      <c r="C458" s="24"/>
      <c r="D458" s="24"/>
      <c r="E458" s="25"/>
      <c r="F458" s="25"/>
      <c r="G458" s="25"/>
      <c r="H458" s="25"/>
      <c r="I458" s="25"/>
      <c r="J458" s="25"/>
      <c r="K458" s="25"/>
      <c r="L458" s="25"/>
      <c r="M458" s="25"/>
      <c r="N458" s="134"/>
      <c r="O458" s="54"/>
      <c r="P458" s="8"/>
      <c r="Q458" s="8"/>
      <c r="R458" s="8"/>
      <c r="S458" s="8"/>
      <c r="T458" s="8"/>
      <c r="U458" s="8"/>
      <c r="V458" s="8"/>
      <c r="W458" s="8"/>
      <c r="X458" s="8"/>
      <c r="Y458" s="8"/>
      <c r="Z458" s="8"/>
    </row>
    <row r="459" spans="1:26" s="9" customFormat="1" ht="15.75">
      <c r="A459" s="73" t="s">
        <v>113</v>
      </c>
      <c r="B459" s="55"/>
      <c r="C459" s="55"/>
      <c r="D459" s="55"/>
      <c r="E459" s="55"/>
      <c r="F459" s="55"/>
      <c r="G459" s="55"/>
      <c r="H459" s="55"/>
      <c r="I459" s="55"/>
      <c r="J459" s="55"/>
      <c r="K459" s="55"/>
      <c r="L459" s="55"/>
      <c r="M459" s="55"/>
      <c r="N459" s="132"/>
      <c r="O459" s="16"/>
      <c r="P459" s="8"/>
      <c r="Q459" s="8"/>
      <c r="R459" s="8"/>
      <c r="S459" s="8"/>
      <c r="T459" s="8"/>
      <c r="U459" s="8"/>
      <c r="V459" s="8"/>
      <c r="W459" s="8"/>
      <c r="X459" s="8"/>
      <c r="Y459" s="8"/>
      <c r="Z459" s="8"/>
    </row>
    <row r="460" spans="1:26" s="9" customFormat="1" ht="15.75">
      <c r="A460" s="37" t="s">
        <v>18</v>
      </c>
      <c r="B460" s="18">
        <f>275+12</f>
        <v>287</v>
      </c>
      <c r="C460" s="18">
        <v>306</v>
      </c>
      <c r="D460" s="18">
        <v>150</v>
      </c>
      <c r="E460" s="18">
        <v>81</v>
      </c>
      <c r="F460" s="18">
        <v>306</v>
      </c>
      <c r="G460" s="18">
        <v>302</v>
      </c>
      <c r="H460" s="18">
        <v>282</v>
      </c>
      <c r="I460" s="18">
        <v>305</v>
      </c>
      <c r="J460" s="81">
        <v>324</v>
      </c>
      <c r="K460" s="18">
        <v>291</v>
      </c>
      <c r="L460" s="18">
        <v>299</v>
      </c>
      <c r="M460" s="18">
        <v>319</v>
      </c>
      <c r="N460" s="133">
        <f>SUM(B460:M460)</f>
        <v>3252</v>
      </c>
      <c r="O460" s="19">
        <f>IF(N460=0,0,AVERAGE(B460:M460))</f>
        <v>271</v>
      </c>
      <c r="P460" s="10"/>
      <c r="Q460" s="10"/>
      <c r="R460" s="10"/>
      <c r="S460" s="10"/>
      <c r="T460" s="10"/>
      <c r="U460" s="10"/>
      <c r="V460" s="10"/>
      <c r="W460" s="10"/>
      <c r="X460" s="10"/>
      <c r="Y460" s="10"/>
      <c r="Z460" s="10"/>
    </row>
    <row r="461" spans="1:26" s="9" customFormat="1" ht="15.75">
      <c r="A461" s="37" t="s">
        <v>19</v>
      </c>
      <c r="B461" s="18">
        <f>1+2</f>
        <v>3</v>
      </c>
      <c r="C461" s="18">
        <v>0</v>
      </c>
      <c r="D461" s="18">
        <v>8</v>
      </c>
      <c r="E461" s="18">
        <v>4</v>
      </c>
      <c r="F461" s="18">
        <v>2</v>
      </c>
      <c r="G461" s="18">
        <v>2</v>
      </c>
      <c r="H461" s="18">
        <v>1</v>
      </c>
      <c r="I461" s="18">
        <v>0</v>
      </c>
      <c r="J461" s="81">
        <v>1</v>
      </c>
      <c r="K461" s="18">
        <v>2</v>
      </c>
      <c r="L461" s="18">
        <v>1</v>
      </c>
      <c r="M461" s="18">
        <v>2</v>
      </c>
      <c r="N461" s="133">
        <f>SUM(B461:M461)</f>
        <v>26</v>
      </c>
      <c r="O461" s="19">
        <f>IF(N461=0,0,AVERAGE(B461:M461))</f>
        <v>2.1666666666666665</v>
      </c>
      <c r="P461" s="10"/>
      <c r="Q461" s="10"/>
      <c r="R461" s="10"/>
      <c r="S461" s="10"/>
      <c r="T461" s="10"/>
      <c r="U461" s="10"/>
      <c r="V461" s="10"/>
      <c r="W461" s="10"/>
      <c r="X461" s="10"/>
      <c r="Y461" s="10"/>
      <c r="Z461" s="10"/>
    </row>
    <row r="462" spans="1:26" s="9" customFormat="1" ht="15.75">
      <c r="A462" s="37" t="s">
        <v>20</v>
      </c>
      <c r="B462" s="18">
        <f>1+1</f>
        <v>2</v>
      </c>
      <c r="C462" s="18">
        <v>4</v>
      </c>
      <c r="D462" s="18">
        <v>0</v>
      </c>
      <c r="E462" s="18">
        <v>3</v>
      </c>
      <c r="F462" s="18">
        <v>1</v>
      </c>
      <c r="G462" s="18">
        <v>1</v>
      </c>
      <c r="H462" s="18">
        <v>0</v>
      </c>
      <c r="I462" s="18">
        <v>0</v>
      </c>
      <c r="J462" s="18">
        <v>0</v>
      </c>
      <c r="K462" s="18">
        <v>9</v>
      </c>
      <c r="L462" s="18">
        <v>1</v>
      </c>
      <c r="M462" s="18">
        <v>0</v>
      </c>
      <c r="N462" s="133">
        <f>SUM(B462:M462)</f>
        <v>21</v>
      </c>
      <c r="O462" s="19">
        <f>IF(N462=0,0,AVERAGE(B462:M462))</f>
        <v>1.75</v>
      </c>
      <c r="P462" s="8"/>
      <c r="Q462" s="8"/>
      <c r="R462" s="8"/>
      <c r="S462" s="8"/>
      <c r="T462" s="8"/>
      <c r="U462" s="8"/>
      <c r="V462" s="8"/>
      <c r="W462" s="8"/>
      <c r="X462" s="8"/>
      <c r="Y462" s="8"/>
      <c r="Z462" s="8"/>
    </row>
    <row r="463" spans="1:26" s="9" customFormat="1" ht="15.75">
      <c r="A463" s="37" t="s">
        <v>114</v>
      </c>
      <c r="B463" s="18">
        <v>8</v>
      </c>
      <c r="C463" s="18">
        <v>12</v>
      </c>
      <c r="D463" s="18">
        <v>1</v>
      </c>
      <c r="E463" s="18">
        <v>0</v>
      </c>
      <c r="F463" s="18">
        <v>3</v>
      </c>
      <c r="G463" s="18">
        <v>8</v>
      </c>
      <c r="H463" s="18">
        <v>10</v>
      </c>
      <c r="I463" s="18">
        <v>12</v>
      </c>
      <c r="J463" s="18">
        <v>5</v>
      </c>
      <c r="K463" s="18">
        <v>18</v>
      </c>
      <c r="L463" s="18">
        <v>22</v>
      </c>
      <c r="M463" s="18">
        <v>26</v>
      </c>
      <c r="N463" s="133">
        <f>SUM(B463:M463)</f>
        <v>125</v>
      </c>
      <c r="O463" s="19">
        <f>IF(N463=0,0,AVERAGE(B463:M463))</f>
        <v>10.416666666666666</v>
      </c>
      <c r="P463" s="8"/>
      <c r="Q463" s="8"/>
      <c r="R463" s="8"/>
      <c r="S463" s="8"/>
      <c r="T463" s="8"/>
      <c r="U463" s="8"/>
      <c r="V463" s="8"/>
      <c r="W463" s="8"/>
      <c r="X463" s="8"/>
      <c r="Y463" s="8"/>
      <c r="Z463" s="8"/>
    </row>
    <row r="464" spans="1:26" s="9" customFormat="1" ht="15.75">
      <c r="A464" s="56" t="s">
        <v>21</v>
      </c>
      <c r="B464" s="21">
        <f t="shared" ref="B464:M464" si="258">SUM(B460:B463)</f>
        <v>300</v>
      </c>
      <c r="C464" s="21">
        <f t="shared" si="258"/>
        <v>322</v>
      </c>
      <c r="D464" s="21">
        <f t="shared" si="258"/>
        <v>159</v>
      </c>
      <c r="E464" s="21">
        <f t="shared" si="258"/>
        <v>88</v>
      </c>
      <c r="F464" s="21">
        <f t="shared" si="258"/>
        <v>312</v>
      </c>
      <c r="G464" s="21">
        <f t="shared" si="258"/>
        <v>313</v>
      </c>
      <c r="H464" s="21">
        <f t="shared" si="258"/>
        <v>293</v>
      </c>
      <c r="I464" s="21">
        <f t="shared" si="258"/>
        <v>317</v>
      </c>
      <c r="J464" s="21">
        <f t="shared" si="258"/>
        <v>330</v>
      </c>
      <c r="K464" s="21">
        <f t="shared" si="258"/>
        <v>320</v>
      </c>
      <c r="L464" s="21">
        <f t="shared" si="258"/>
        <v>323</v>
      </c>
      <c r="M464" s="21">
        <f t="shared" si="258"/>
        <v>347</v>
      </c>
      <c r="N464" s="128">
        <f>SUM(N460:N463)</f>
        <v>3424</v>
      </c>
      <c r="O464" s="22">
        <f>SUM(O460:O463)</f>
        <v>285.33333333333337</v>
      </c>
      <c r="P464" s="8"/>
      <c r="Q464" s="8"/>
      <c r="R464" s="8"/>
      <c r="S464" s="8"/>
      <c r="T464" s="8"/>
      <c r="U464" s="8"/>
      <c r="V464" s="8"/>
      <c r="W464" s="8"/>
      <c r="X464" s="8"/>
      <c r="Y464" s="8"/>
      <c r="Z464" s="8"/>
    </row>
    <row r="465" spans="1:26" s="9" customFormat="1">
      <c r="A465" s="68"/>
      <c r="B465" s="69"/>
      <c r="C465" s="69"/>
      <c r="D465" s="69"/>
      <c r="E465" s="69"/>
      <c r="F465" s="69"/>
      <c r="G465" s="69"/>
      <c r="H465" s="69"/>
      <c r="I465" s="69"/>
      <c r="J465" s="69"/>
      <c r="K465" s="69"/>
      <c r="L465" s="69"/>
      <c r="M465" s="69"/>
      <c r="N465" s="144"/>
      <c r="O465" s="70"/>
      <c r="P465" s="8"/>
      <c r="Q465" s="8"/>
      <c r="R465" s="8"/>
      <c r="S465" s="8"/>
      <c r="T465" s="8"/>
      <c r="U465" s="8"/>
      <c r="V465" s="8"/>
      <c r="W465" s="8"/>
      <c r="X465" s="8"/>
      <c r="Y465" s="8"/>
      <c r="Z465" s="8"/>
    </row>
    <row r="466" spans="1:26" s="9" customFormat="1" ht="15.75">
      <c r="A466" s="161" t="s">
        <v>349</v>
      </c>
      <c r="B466" s="176"/>
      <c r="C466" s="176"/>
      <c r="D466" s="176"/>
      <c r="E466" s="176"/>
      <c r="F466" s="176"/>
      <c r="G466" s="176"/>
      <c r="H466" s="176"/>
      <c r="I466" s="176"/>
      <c r="J466" s="176"/>
      <c r="K466" s="176"/>
      <c r="L466" s="176"/>
      <c r="M466" s="176"/>
      <c r="N466" s="163"/>
      <c r="O466" s="164"/>
      <c r="P466" s="10"/>
      <c r="Q466" s="10"/>
      <c r="R466" s="10"/>
      <c r="S466" s="10"/>
      <c r="T466" s="10"/>
      <c r="U466" s="10"/>
      <c r="V466" s="10"/>
      <c r="W466" s="10"/>
      <c r="X466" s="10"/>
      <c r="Y466" s="10"/>
      <c r="Z466" s="10"/>
    </row>
    <row r="467" spans="1:26" s="9" customFormat="1" ht="15.75">
      <c r="A467" s="173" t="s">
        <v>350</v>
      </c>
      <c r="B467" s="174"/>
      <c r="C467" s="174"/>
      <c r="D467" s="174"/>
      <c r="E467" s="174"/>
      <c r="F467" s="174"/>
      <c r="G467" s="174"/>
      <c r="H467" s="174"/>
      <c r="I467" s="174"/>
      <c r="J467" s="174"/>
      <c r="K467" s="174"/>
      <c r="L467" s="174"/>
      <c r="M467" s="174"/>
      <c r="N467" s="175"/>
      <c r="O467" s="248"/>
      <c r="P467" s="8"/>
      <c r="Q467" s="8"/>
      <c r="R467" s="8"/>
      <c r="S467" s="8"/>
      <c r="T467" s="8"/>
      <c r="U467" s="8"/>
      <c r="V467" s="8"/>
      <c r="W467" s="8"/>
      <c r="X467" s="8"/>
      <c r="Y467" s="8"/>
      <c r="Z467" s="8"/>
    </row>
    <row r="468" spans="1:26" s="9" customFormat="1" ht="15.75">
      <c r="A468" s="110" t="s">
        <v>351</v>
      </c>
      <c r="B468" s="36">
        <v>0</v>
      </c>
      <c r="C468" s="36">
        <v>0</v>
      </c>
      <c r="D468" s="36">
        <v>0</v>
      </c>
      <c r="E468" s="36">
        <v>0</v>
      </c>
      <c r="F468" s="36">
        <v>0</v>
      </c>
      <c r="G468" s="36">
        <v>0</v>
      </c>
      <c r="H468" s="36">
        <v>0</v>
      </c>
      <c r="I468" s="36">
        <v>0</v>
      </c>
      <c r="J468" s="36">
        <v>0</v>
      </c>
      <c r="K468" s="36">
        <v>0</v>
      </c>
      <c r="L468" s="36">
        <v>0</v>
      </c>
      <c r="M468" s="36">
        <v>0</v>
      </c>
      <c r="N468" s="154">
        <f t="shared" ref="N468:N473" si="259">SUM(B468:M468)</f>
        <v>0</v>
      </c>
      <c r="O468" s="111">
        <f t="shared" ref="O468:O473" si="260">IF(N468=0,0,AVERAGE(B468:M468))</f>
        <v>0</v>
      </c>
      <c r="P468" s="8"/>
      <c r="Q468" s="8"/>
      <c r="R468" s="8"/>
      <c r="S468" s="8"/>
      <c r="T468" s="8"/>
      <c r="U468" s="8"/>
      <c r="V468" s="8"/>
      <c r="W468" s="8"/>
      <c r="X468" s="8"/>
      <c r="Y468" s="8"/>
      <c r="Z468" s="8"/>
    </row>
    <row r="469" spans="1:26" s="9" customFormat="1" ht="15.75">
      <c r="A469" s="34" t="s">
        <v>352</v>
      </c>
      <c r="B469" s="18">
        <v>0</v>
      </c>
      <c r="C469" s="18">
        <v>0</v>
      </c>
      <c r="D469" s="18">
        <v>0</v>
      </c>
      <c r="E469" s="18">
        <v>0</v>
      </c>
      <c r="F469" s="18">
        <v>0</v>
      </c>
      <c r="G469" s="18">
        <v>0</v>
      </c>
      <c r="H469" s="18">
        <v>0</v>
      </c>
      <c r="I469" s="18">
        <v>0</v>
      </c>
      <c r="J469" s="18">
        <v>0</v>
      </c>
      <c r="K469" s="18">
        <v>0</v>
      </c>
      <c r="L469" s="18">
        <v>0</v>
      </c>
      <c r="M469" s="18">
        <v>0</v>
      </c>
      <c r="N469" s="133">
        <f t="shared" si="259"/>
        <v>0</v>
      </c>
      <c r="O469" s="19">
        <f t="shared" si="260"/>
        <v>0</v>
      </c>
      <c r="P469" s="8"/>
      <c r="Q469" s="8"/>
      <c r="R469" s="8"/>
      <c r="S469" s="8"/>
      <c r="T469" s="8"/>
      <c r="U469" s="8"/>
      <c r="V469" s="8"/>
      <c r="W469" s="8"/>
      <c r="X469" s="8"/>
      <c r="Y469" s="8"/>
      <c r="Z469" s="8"/>
    </row>
    <row r="470" spans="1:26" s="9" customFormat="1" ht="15.75">
      <c r="A470" s="34" t="s">
        <v>353</v>
      </c>
      <c r="B470" s="18">
        <v>0</v>
      </c>
      <c r="C470" s="18">
        <v>0</v>
      </c>
      <c r="D470" s="18">
        <v>0</v>
      </c>
      <c r="E470" s="18">
        <v>0</v>
      </c>
      <c r="F470" s="18">
        <v>0</v>
      </c>
      <c r="G470" s="18">
        <v>0</v>
      </c>
      <c r="H470" s="18">
        <v>0</v>
      </c>
      <c r="I470" s="18">
        <v>0</v>
      </c>
      <c r="J470" s="18">
        <v>0</v>
      </c>
      <c r="K470" s="18">
        <v>0</v>
      </c>
      <c r="L470" s="18">
        <v>0</v>
      </c>
      <c r="M470" s="18">
        <v>0</v>
      </c>
      <c r="N470" s="133">
        <f t="shared" si="259"/>
        <v>0</v>
      </c>
      <c r="O470" s="19">
        <f t="shared" si="260"/>
        <v>0</v>
      </c>
      <c r="P470" s="8"/>
      <c r="Q470" s="8"/>
      <c r="R470" s="8"/>
      <c r="S470" s="8"/>
      <c r="T470" s="8"/>
      <c r="U470" s="8"/>
      <c r="V470" s="8"/>
      <c r="W470" s="8"/>
      <c r="X470" s="8"/>
      <c r="Y470" s="8"/>
      <c r="Z470" s="8"/>
    </row>
    <row r="471" spans="1:26" s="9" customFormat="1" ht="15.75">
      <c r="A471" s="56" t="s">
        <v>21</v>
      </c>
      <c r="B471" s="21">
        <f t="shared" ref="B471:C471" si="261">SUM(B468:B470)</f>
        <v>0</v>
      </c>
      <c r="C471" s="21">
        <f t="shared" si="261"/>
        <v>0</v>
      </c>
      <c r="D471" s="21">
        <f t="shared" ref="D471:E471" si="262">SUM(D468:D470)</f>
        <v>0</v>
      </c>
      <c r="E471" s="21">
        <f t="shared" si="262"/>
        <v>0</v>
      </c>
      <c r="F471" s="21">
        <f t="shared" ref="F471:G471" si="263">SUM(F468:F470)</f>
        <v>0</v>
      </c>
      <c r="G471" s="21">
        <f t="shared" si="263"/>
        <v>0</v>
      </c>
      <c r="H471" s="21">
        <f t="shared" ref="H471:I471" si="264">SUM(H468:H470)</f>
        <v>0</v>
      </c>
      <c r="I471" s="21">
        <f t="shared" si="264"/>
        <v>0</v>
      </c>
      <c r="J471" s="21">
        <f t="shared" ref="J471:K471" si="265">SUM(J468:J470)</f>
        <v>0</v>
      </c>
      <c r="K471" s="21">
        <f t="shared" si="265"/>
        <v>0</v>
      </c>
      <c r="L471" s="21">
        <f t="shared" ref="L471:M471" si="266">SUM(L468:L470)</f>
        <v>0</v>
      </c>
      <c r="M471" s="21">
        <f t="shared" si="266"/>
        <v>0</v>
      </c>
      <c r="N471" s="128">
        <f t="shared" si="259"/>
        <v>0</v>
      </c>
      <c r="O471" s="22">
        <f t="shared" si="260"/>
        <v>0</v>
      </c>
      <c r="P471" s="8"/>
      <c r="Q471" s="8"/>
      <c r="R471" s="8"/>
      <c r="S471" s="8"/>
      <c r="T471" s="8"/>
      <c r="U471" s="8"/>
      <c r="V471" s="8"/>
      <c r="W471" s="8"/>
      <c r="X471" s="8"/>
      <c r="Y471" s="8"/>
      <c r="Z471" s="8"/>
    </row>
    <row r="472" spans="1:26" s="9" customFormat="1" ht="31.5">
      <c r="A472" s="56" t="s">
        <v>354</v>
      </c>
      <c r="B472" s="21">
        <v>0</v>
      </c>
      <c r="C472" s="21">
        <v>0</v>
      </c>
      <c r="D472" s="21">
        <v>0</v>
      </c>
      <c r="E472" s="21">
        <v>0</v>
      </c>
      <c r="F472" s="21">
        <v>0</v>
      </c>
      <c r="G472" s="21">
        <v>0</v>
      </c>
      <c r="H472" s="21">
        <v>0</v>
      </c>
      <c r="I472" s="21">
        <v>1</v>
      </c>
      <c r="J472" s="21">
        <v>0</v>
      </c>
      <c r="K472" s="21">
        <v>0</v>
      </c>
      <c r="L472" s="21">
        <v>0</v>
      </c>
      <c r="M472" s="21">
        <v>0</v>
      </c>
      <c r="N472" s="128">
        <f t="shared" si="259"/>
        <v>1</v>
      </c>
      <c r="O472" s="22">
        <f t="shared" si="260"/>
        <v>8.3333333333333329E-2</v>
      </c>
      <c r="P472" s="8"/>
      <c r="Q472" s="8"/>
      <c r="R472" s="8"/>
      <c r="S472" s="8"/>
      <c r="T472" s="8"/>
      <c r="U472" s="8"/>
      <c r="V472" s="8"/>
      <c r="W472" s="8"/>
      <c r="X472" s="8"/>
      <c r="Y472" s="8"/>
      <c r="Z472" s="8"/>
    </row>
    <row r="473" spans="1:26" s="9" customFormat="1" ht="15.75">
      <c r="A473" s="56" t="s">
        <v>355</v>
      </c>
      <c r="B473" s="22" t="s">
        <v>44</v>
      </c>
      <c r="C473" s="22" t="s">
        <v>44</v>
      </c>
      <c r="D473" s="22" t="s">
        <v>44</v>
      </c>
      <c r="E473" s="22" t="s">
        <v>44</v>
      </c>
      <c r="F473" s="22" t="s">
        <v>44</v>
      </c>
      <c r="G473" s="22" t="s">
        <v>44</v>
      </c>
      <c r="H473" s="22" t="s">
        <v>44</v>
      </c>
      <c r="I473" s="22" t="s">
        <v>44</v>
      </c>
      <c r="J473" s="22" t="s">
        <v>44</v>
      </c>
      <c r="K473" s="22" t="s">
        <v>44</v>
      </c>
      <c r="L473" s="22" t="s">
        <v>44</v>
      </c>
      <c r="M473" s="22" t="s">
        <v>44</v>
      </c>
      <c r="N473" s="128">
        <f t="shared" si="259"/>
        <v>0</v>
      </c>
      <c r="O473" s="22">
        <f t="shared" si="260"/>
        <v>0</v>
      </c>
      <c r="P473" s="8"/>
      <c r="Q473" s="8"/>
      <c r="R473" s="8"/>
      <c r="S473" s="8"/>
      <c r="T473" s="8"/>
      <c r="U473" s="8"/>
      <c r="V473" s="8"/>
      <c r="W473" s="8"/>
      <c r="X473" s="8"/>
      <c r="Y473" s="8"/>
      <c r="Z473" s="8"/>
    </row>
    <row r="474" spans="1:26" s="9" customFormat="1">
      <c r="A474" s="23"/>
      <c r="B474" s="24"/>
      <c r="C474" s="24"/>
      <c r="D474" s="24"/>
      <c r="E474" s="24"/>
      <c r="F474" s="24"/>
      <c r="G474" s="24"/>
      <c r="H474" s="24"/>
      <c r="I474" s="24"/>
      <c r="J474" s="24"/>
      <c r="K474" s="24"/>
      <c r="L474" s="24"/>
      <c r="M474" s="24"/>
      <c r="N474" s="134"/>
      <c r="O474" s="13"/>
      <c r="P474" s="8"/>
      <c r="Q474" s="8"/>
      <c r="R474" s="8"/>
      <c r="S474" s="8"/>
      <c r="T474" s="8"/>
      <c r="U474" s="8"/>
      <c r="V474" s="8"/>
      <c r="W474" s="8"/>
      <c r="X474" s="8"/>
      <c r="Y474" s="8"/>
      <c r="Z474" s="8"/>
    </row>
    <row r="475" spans="1:26" s="9" customFormat="1" ht="15.75">
      <c r="A475" s="58" t="s">
        <v>95</v>
      </c>
      <c r="B475" s="59">
        <f t="shared" ref="B475:C475" si="267">B471</f>
        <v>0</v>
      </c>
      <c r="C475" s="59">
        <f t="shared" si="267"/>
        <v>0</v>
      </c>
      <c r="D475" s="59">
        <f t="shared" ref="D475:E475" si="268">D471</f>
        <v>0</v>
      </c>
      <c r="E475" s="59">
        <f t="shared" si="268"/>
        <v>0</v>
      </c>
      <c r="F475" s="59">
        <f t="shared" ref="F475:G475" si="269">F471</f>
        <v>0</v>
      </c>
      <c r="G475" s="59">
        <f t="shared" si="269"/>
        <v>0</v>
      </c>
      <c r="H475" s="59">
        <f t="shared" ref="H475:I475" si="270">H471</f>
        <v>0</v>
      </c>
      <c r="I475" s="59">
        <f t="shared" si="270"/>
        <v>0</v>
      </c>
      <c r="J475" s="59">
        <f t="shared" ref="J475:K475" si="271">J471</f>
        <v>0</v>
      </c>
      <c r="K475" s="59">
        <f t="shared" si="271"/>
        <v>0</v>
      </c>
      <c r="L475" s="59">
        <f t="shared" ref="L475:M475" si="272">L471</f>
        <v>0</v>
      </c>
      <c r="M475" s="59">
        <f t="shared" si="272"/>
        <v>0</v>
      </c>
      <c r="N475" s="128">
        <f>SUM(B475:M475)</f>
        <v>0</v>
      </c>
      <c r="O475" s="22">
        <f>IF(N475=0,0,AVERAGE(B475:M475))</f>
        <v>0</v>
      </c>
      <c r="P475" s="8"/>
      <c r="Q475" s="8"/>
      <c r="R475" s="8"/>
      <c r="S475" s="8"/>
      <c r="T475" s="8"/>
      <c r="U475" s="8"/>
      <c r="V475" s="8"/>
      <c r="W475" s="8"/>
      <c r="X475" s="8"/>
      <c r="Y475" s="8"/>
      <c r="Z475" s="8"/>
    </row>
    <row r="476" spans="1:26" s="9" customFormat="1" ht="15.75">
      <c r="A476" s="34" t="s">
        <v>96</v>
      </c>
      <c r="B476" s="18">
        <v>5</v>
      </c>
      <c r="C476" s="18">
        <v>5</v>
      </c>
      <c r="D476" s="18">
        <v>5</v>
      </c>
      <c r="E476" s="18">
        <v>5</v>
      </c>
      <c r="F476" s="18">
        <v>5</v>
      </c>
      <c r="G476" s="18">
        <v>5</v>
      </c>
      <c r="H476" s="18">
        <v>5</v>
      </c>
      <c r="I476" s="18">
        <v>5</v>
      </c>
      <c r="J476" s="18">
        <v>5</v>
      </c>
      <c r="K476" s="18">
        <v>5</v>
      </c>
      <c r="L476" s="18">
        <v>5</v>
      </c>
      <c r="M476" s="18">
        <v>5</v>
      </c>
      <c r="N476" s="133">
        <f>SUM(B476:M476)</f>
        <v>60</v>
      </c>
      <c r="O476" s="19">
        <f>IF(N476=0,0,AVERAGE(B476:M476))</f>
        <v>5</v>
      </c>
      <c r="P476" s="8"/>
      <c r="Q476" s="8"/>
      <c r="R476" s="8"/>
      <c r="S476" s="8"/>
      <c r="T476" s="8"/>
      <c r="U476" s="8"/>
      <c r="V476" s="8"/>
      <c r="W476" s="8"/>
      <c r="X476" s="8"/>
      <c r="Y476" s="8"/>
      <c r="Z476" s="8"/>
    </row>
    <row r="477" spans="1:26" s="9" customFormat="1" ht="15.75">
      <c r="A477" s="56" t="s">
        <v>97</v>
      </c>
      <c r="B477" s="22">
        <f t="shared" ref="B477:G477" si="273">IF(B475="","",B475/B1676)</f>
        <v>0</v>
      </c>
      <c r="C477" s="22">
        <f t="shared" si="273"/>
        <v>0</v>
      </c>
      <c r="D477" s="22">
        <f t="shared" si="273"/>
        <v>0</v>
      </c>
      <c r="E477" s="22">
        <f t="shared" si="273"/>
        <v>0</v>
      </c>
      <c r="F477" s="22">
        <f t="shared" si="273"/>
        <v>0</v>
      </c>
      <c r="G477" s="22">
        <f t="shared" si="273"/>
        <v>0</v>
      </c>
      <c r="H477" s="22">
        <f t="shared" ref="H477:I477" si="274">IF(H475="","",H475/H1676)</f>
        <v>0</v>
      </c>
      <c r="I477" s="22">
        <f t="shared" si="274"/>
        <v>0</v>
      </c>
      <c r="J477" s="22">
        <f t="shared" ref="J477:K477" si="275">IF(J475="","",J475/J1676)</f>
        <v>0</v>
      </c>
      <c r="K477" s="22">
        <f t="shared" si="275"/>
        <v>0</v>
      </c>
      <c r="L477" s="22">
        <f t="shared" ref="L477:M477" si="276">IF(L475="","",L475/L1676)</f>
        <v>0</v>
      </c>
      <c r="M477" s="22">
        <f t="shared" si="276"/>
        <v>0</v>
      </c>
      <c r="N477" s="128">
        <f>SUM(B477:M477)</f>
        <v>0</v>
      </c>
      <c r="O477" s="22">
        <f>IF(N477=0,0,AVERAGE(B477:M477))</f>
        <v>0</v>
      </c>
      <c r="P477" s="8"/>
      <c r="Q477" s="8"/>
      <c r="R477" s="8"/>
      <c r="S477" s="8"/>
      <c r="T477" s="8"/>
      <c r="U477" s="8"/>
      <c r="V477" s="8"/>
      <c r="W477" s="8"/>
      <c r="X477" s="8"/>
      <c r="Y477" s="8"/>
      <c r="Z477" s="8"/>
    </row>
    <row r="478" spans="1:26" s="9" customFormat="1" ht="15.75">
      <c r="A478" s="23"/>
      <c r="B478" s="24"/>
      <c r="C478" s="24"/>
      <c r="D478" s="24"/>
      <c r="E478" s="24"/>
      <c r="F478" s="24"/>
      <c r="G478" s="24"/>
      <c r="H478" s="25"/>
      <c r="I478" s="25"/>
      <c r="J478" s="25"/>
      <c r="K478" s="25"/>
      <c r="L478" s="25"/>
      <c r="M478" s="25"/>
      <c r="N478" s="134"/>
      <c r="O478" s="54"/>
      <c r="P478" s="8"/>
      <c r="Q478" s="8"/>
      <c r="R478" s="8"/>
      <c r="S478" s="8"/>
      <c r="T478" s="8"/>
      <c r="U478" s="8"/>
      <c r="V478" s="8"/>
      <c r="W478" s="8"/>
      <c r="X478" s="8"/>
      <c r="Y478" s="8"/>
      <c r="Z478" s="8"/>
    </row>
    <row r="479" spans="1:26" s="9" customFormat="1" ht="15.75">
      <c r="A479" s="60" t="s">
        <v>364</v>
      </c>
      <c r="B479" s="55"/>
      <c r="C479" s="55"/>
      <c r="D479" s="55"/>
      <c r="E479" s="55"/>
      <c r="F479" s="55"/>
      <c r="G479" s="55"/>
      <c r="H479" s="55"/>
      <c r="I479" s="55"/>
      <c r="J479" s="55"/>
      <c r="K479" s="55"/>
      <c r="L479" s="55"/>
      <c r="M479" s="55"/>
      <c r="N479" s="132"/>
      <c r="O479" s="16"/>
      <c r="P479" s="8"/>
      <c r="Q479" s="8"/>
      <c r="R479" s="8"/>
      <c r="S479" s="8"/>
      <c r="T479" s="8"/>
      <c r="U479" s="8"/>
      <c r="V479" s="8"/>
      <c r="W479" s="8"/>
      <c r="X479" s="8"/>
      <c r="Y479" s="8"/>
      <c r="Z479" s="8"/>
    </row>
    <row r="480" spans="1:26" s="9" customFormat="1" ht="15.75">
      <c r="A480" s="34" t="s">
        <v>99</v>
      </c>
      <c r="B480" s="18">
        <v>0</v>
      </c>
      <c r="C480" s="18">
        <v>0</v>
      </c>
      <c r="D480" s="18">
        <v>0</v>
      </c>
      <c r="E480" s="18">
        <v>0</v>
      </c>
      <c r="F480" s="18">
        <v>0</v>
      </c>
      <c r="G480" s="18">
        <v>0</v>
      </c>
      <c r="H480" s="18">
        <v>0</v>
      </c>
      <c r="I480" s="18">
        <v>0</v>
      </c>
      <c r="J480" s="18">
        <v>0</v>
      </c>
      <c r="K480" s="18">
        <v>0</v>
      </c>
      <c r="L480" s="18">
        <v>0</v>
      </c>
      <c r="M480" s="18">
        <v>0</v>
      </c>
      <c r="N480" s="133">
        <f>SUM(B480:M480)</f>
        <v>0</v>
      </c>
      <c r="O480" s="19">
        <f>IF(N480=0,0,AVERAGE(B480:M480))</f>
        <v>0</v>
      </c>
      <c r="P480" s="8"/>
      <c r="Q480" s="8"/>
      <c r="R480" s="8"/>
      <c r="S480" s="8"/>
      <c r="T480" s="8"/>
      <c r="U480" s="8"/>
      <c r="V480" s="8"/>
      <c r="W480" s="8"/>
      <c r="X480" s="8"/>
      <c r="Y480" s="8"/>
      <c r="Z480" s="8"/>
    </row>
    <row r="481" spans="1:26" s="9" customFormat="1" ht="15.75">
      <c r="A481" s="34" t="s">
        <v>381</v>
      </c>
      <c r="B481" s="18">
        <v>0</v>
      </c>
      <c r="C481" s="18">
        <v>0</v>
      </c>
      <c r="D481" s="18">
        <v>0</v>
      </c>
      <c r="E481" s="18">
        <v>0</v>
      </c>
      <c r="F481" s="18">
        <v>0</v>
      </c>
      <c r="G481" s="18">
        <v>0</v>
      </c>
      <c r="H481" s="18">
        <v>0</v>
      </c>
      <c r="I481" s="18">
        <v>0</v>
      </c>
      <c r="J481" s="18">
        <v>0</v>
      </c>
      <c r="K481" s="18">
        <v>0</v>
      </c>
      <c r="L481" s="18">
        <v>0</v>
      </c>
      <c r="M481" s="18">
        <v>0</v>
      </c>
      <c r="N481" s="133">
        <f>SUM(B481:M481)</f>
        <v>0</v>
      </c>
      <c r="O481" s="19">
        <f>IF(N481=0,0,AVERAGE(B481:M481))</f>
        <v>0</v>
      </c>
      <c r="P481" s="8"/>
      <c r="Q481" s="8"/>
      <c r="R481" s="8"/>
      <c r="S481" s="8"/>
      <c r="T481" s="8"/>
      <c r="U481" s="8"/>
      <c r="V481" s="8"/>
      <c r="W481" s="8"/>
      <c r="X481" s="8"/>
      <c r="Y481" s="8"/>
      <c r="Z481" s="8"/>
    </row>
    <row r="482" spans="1:26" s="9" customFormat="1" ht="15.75">
      <c r="A482" s="56" t="s">
        <v>21</v>
      </c>
      <c r="B482" s="21">
        <f t="shared" ref="B482:C482" si="277">SUM(B480:B481)</f>
        <v>0</v>
      </c>
      <c r="C482" s="21">
        <f t="shared" si="277"/>
        <v>0</v>
      </c>
      <c r="D482" s="21">
        <f t="shared" ref="D482:E482" si="278">SUM(D480:D481)</f>
        <v>0</v>
      </c>
      <c r="E482" s="21">
        <f t="shared" si="278"/>
        <v>0</v>
      </c>
      <c r="F482" s="21">
        <f t="shared" ref="F482:G482" si="279">SUM(F480:F481)</f>
        <v>0</v>
      </c>
      <c r="G482" s="21">
        <f t="shared" si="279"/>
        <v>0</v>
      </c>
      <c r="H482" s="21">
        <f t="shared" ref="H482:I482" si="280">SUM(H480:H481)</f>
        <v>0</v>
      </c>
      <c r="I482" s="21">
        <f t="shared" si="280"/>
        <v>0</v>
      </c>
      <c r="J482" s="21">
        <f t="shared" ref="J482:K482" si="281">SUM(J480:J481)</f>
        <v>0</v>
      </c>
      <c r="K482" s="21">
        <f t="shared" si="281"/>
        <v>0</v>
      </c>
      <c r="L482" s="21">
        <f t="shared" ref="L482:M482" si="282">SUM(L480:L481)</f>
        <v>0</v>
      </c>
      <c r="M482" s="21">
        <f t="shared" si="282"/>
        <v>0</v>
      </c>
      <c r="N482" s="128">
        <f>SUM(N480:N481)</f>
        <v>0</v>
      </c>
      <c r="O482" s="22">
        <f>SUM(O480:O481)</f>
        <v>0</v>
      </c>
      <c r="P482" s="8"/>
      <c r="Q482" s="8"/>
      <c r="R482" s="8"/>
      <c r="S482" s="8"/>
      <c r="T482" s="8"/>
      <c r="U482" s="8"/>
      <c r="V482" s="8"/>
      <c r="W482" s="8"/>
      <c r="X482" s="8"/>
      <c r="Y482" s="8"/>
      <c r="Z482" s="8"/>
    </row>
    <row r="483" spans="1:26" s="9" customFormat="1" ht="15.75">
      <c r="A483" s="61" t="s">
        <v>348</v>
      </c>
      <c r="B483" s="62" t="e">
        <f>SUM(#REF!,#REF!,#REF!)</f>
        <v>#REF!</v>
      </c>
      <c r="C483" s="62"/>
      <c r="D483" s="62"/>
      <c r="E483" s="62"/>
      <c r="F483" s="62"/>
      <c r="G483" s="62"/>
      <c r="H483" s="62"/>
      <c r="I483" s="62"/>
      <c r="J483" s="62"/>
      <c r="K483" s="62"/>
      <c r="L483" s="62"/>
      <c r="M483" s="62"/>
      <c r="N483" s="142"/>
      <c r="O483" s="63"/>
      <c r="P483" s="8"/>
      <c r="Q483" s="8"/>
      <c r="R483" s="8"/>
      <c r="S483" s="8"/>
      <c r="T483" s="8"/>
      <c r="U483" s="8"/>
      <c r="V483" s="8"/>
      <c r="W483" s="8"/>
      <c r="X483" s="8"/>
      <c r="Y483" s="8"/>
      <c r="Z483" s="8"/>
    </row>
    <row r="484" spans="1:26" s="9" customFormat="1" ht="15.75">
      <c r="A484" s="60" t="s">
        <v>356</v>
      </c>
      <c r="B484" s="55"/>
      <c r="C484" s="55"/>
      <c r="D484" s="55"/>
      <c r="E484" s="55"/>
      <c r="F484" s="55"/>
      <c r="G484" s="55"/>
      <c r="H484" s="55"/>
      <c r="I484" s="55"/>
      <c r="J484" s="55"/>
      <c r="K484" s="55"/>
      <c r="L484" s="55"/>
      <c r="M484" s="55"/>
      <c r="N484" s="132"/>
      <c r="O484" s="16"/>
      <c r="P484" s="8"/>
      <c r="Q484" s="8"/>
      <c r="R484" s="8"/>
      <c r="S484" s="8"/>
      <c r="T484" s="8"/>
      <c r="U484" s="8"/>
      <c r="V484" s="8"/>
      <c r="W484" s="8"/>
      <c r="X484" s="8"/>
      <c r="Y484" s="8"/>
      <c r="Z484" s="8"/>
    </row>
    <row r="485" spans="1:26" s="9" customFormat="1" ht="15.75">
      <c r="A485" s="34" t="s">
        <v>357</v>
      </c>
      <c r="B485" s="18">
        <v>0</v>
      </c>
      <c r="C485" s="18">
        <v>0</v>
      </c>
      <c r="D485" s="18">
        <v>0</v>
      </c>
      <c r="E485" s="18">
        <v>0</v>
      </c>
      <c r="F485" s="18">
        <v>0</v>
      </c>
      <c r="G485" s="18">
        <v>0</v>
      </c>
      <c r="H485" s="18">
        <v>0</v>
      </c>
      <c r="I485" s="18">
        <v>0</v>
      </c>
      <c r="J485" s="18">
        <v>0</v>
      </c>
      <c r="K485" s="18">
        <v>0</v>
      </c>
      <c r="L485" s="18">
        <v>0</v>
      </c>
      <c r="M485" s="18">
        <v>0</v>
      </c>
      <c r="N485" s="133">
        <f>SUM(B485:M485)</f>
        <v>0</v>
      </c>
      <c r="O485" s="19">
        <f>IF(N485=0,0,AVERAGE(B485:M485))</f>
        <v>0</v>
      </c>
      <c r="P485" s="8"/>
      <c r="Q485" s="8"/>
      <c r="R485" s="8"/>
      <c r="S485" s="8"/>
      <c r="T485" s="8"/>
      <c r="U485" s="8"/>
      <c r="V485" s="8"/>
      <c r="W485" s="8"/>
      <c r="X485" s="8"/>
      <c r="Y485" s="8"/>
      <c r="Z485" s="8"/>
    </row>
    <row r="486" spans="1:26" s="9" customFormat="1" ht="15.75">
      <c r="A486" s="34" t="s">
        <v>297</v>
      </c>
      <c r="B486" s="18">
        <v>0</v>
      </c>
      <c r="C486" s="18">
        <v>0</v>
      </c>
      <c r="D486" s="18">
        <v>0</v>
      </c>
      <c r="E486" s="18">
        <v>0</v>
      </c>
      <c r="F486" s="18">
        <v>0</v>
      </c>
      <c r="G486" s="18">
        <v>0</v>
      </c>
      <c r="H486" s="18">
        <v>0</v>
      </c>
      <c r="I486" s="18">
        <v>0</v>
      </c>
      <c r="J486" s="18">
        <v>0</v>
      </c>
      <c r="K486" s="18">
        <v>0</v>
      </c>
      <c r="L486" s="18">
        <v>0</v>
      </c>
      <c r="M486" s="18">
        <v>0</v>
      </c>
      <c r="N486" s="133">
        <f>SUM(B486:M486)</f>
        <v>0</v>
      </c>
      <c r="O486" s="19">
        <f>IF(N486=0,0,AVERAGE(B486:M486))</f>
        <v>0</v>
      </c>
      <c r="P486" s="8"/>
      <c r="Q486" s="8"/>
      <c r="R486" s="8"/>
      <c r="S486" s="8"/>
      <c r="T486" s="8"/>
      <c r="U486" s="8"/>
      <c r="V486" s="8"/>
      <c r="W486" s="8"/>
      <c r="X486" s="8"/>
      <c r="Y486" s="8"/>
      <c r="Z486" s="8"/>
    </row>
    <row r="487" spans="1:26" s="9" customFormat="1" ht="15.75">
      <c r="A487" s="67" t="s">
        <v>21</v>
      </c>
      <c r="B487" s="44">
        <f t="shared" ref="B487:G487" si="283">SUM(B485:B486)</f>
        <v>0</v>
      </c>
      <c r="C487" s="44">
        <f t="shared" si="283"/>
        <v>0</v>
      </c>
      <c r="D487" s="44">
        <f t="shared" si="283"/>
        <v>0</v>
      </c>
      <c r="E487" s="44">
        <f t="shared" si="283"/>
        <v>0</v>
      </c>
      <c r="F487" s="44">
        <f t="shared" si="283"/>
        <v>0</v>
      </c>
      <c r="G487" s="44">
        <f t="shared" si="283"/>
        <v>0</v>
      </c>
      <c r="H487" s="44">
        <f t="shared" ref="H487:I487" si="284">SUM(H485:H486)</f>
        <v>0</v>
      </c>
      <c r="I487" s="44">
        <f t="shared" si="284"/>
        <v>0</v>
      </c>
      <c r="J487" s="44">
        <f t="shared" ref="J487:K487" si="285">SUM(J485:J486)</f>
        <v>0</v>
      </c>
      <c r="K487" s="44">
        <f t="shared" si="285"/>
        <v>0</v>
      </c>
      <c r="L487" s="44">
        <f t="shared" ref="L487:M487" si="286">SUM(L485:L486)</f>
        <v>0</v>
      </c>
      <c r="M487" s="44">
        <f t="shared" si="286"/>
        <v>0</v>
      </c>
      <c r="N487" s="139">
        <f>SUM(N485:N486)</f>
        <v>0</v>
      </c>
      <c r="O487" s="45">
        <f>SUM(O485:O486)</f>
        <v>0</v>
      </c>
      <c r="P487" s="8"/>
      <c r="Q487" s="8"/>
      <c r="R487" s="8"/>
      <c r="S487" s="8"/>
      <c r="T487" s="8"/>
      <c r="U487" s="8"/>
      <c r="V487" s="8"/>
      <c r="W487" s="8"/>
      <c r="X487" s="8"/>
      <c r="Y487" s="8"/>
      <c r="Z487" s="8"/>
    </row>
    <row r="488" spans="1:26" s="9" customFormat="1" ht="15.75">
      <c r="A488" s="74" t="s">
        <v>355</v>
      </c>
      <c r="B488" s="22" t="s">
        <v>44</v>
      </c>
      <c r="C488" s="22" t="s">
        <v>44</v>
      </c>
      <c r="D488" s="22" t="s">
        <v>44</v>
      </c>
      <c r="E488" s="22" t="s">
        <v>44</v>
      </c>
      <c r="F488" s="22" t="s">
        <v>44</v>
      </c>
      <c r="G488" s="22" t="s">
        <v>44</v>
      </c>
      <c r="H488" s="22" t="s">
        <v>44</v>
      </c>
      <c r="I488" s="22" t="s">
        <v>44</v>
      </c>
      <c r="J488" s="22" t="s">
        <v>44</v>
      </c>
      <c r="K488" s="22" t="s">
        <v>44</v>
      </c>
      <c r="L488" s="22" t="s">
        <v>44</v>
      </c>
      <c r="M488" s="22" t="s">
        <v>44</v>
      </c>
      <c r="N488" s="128">
        <f>SUM(B488:M488)</f>
        <v>0</v>
      </c>
      <c r="O488" s="22">
        <f>IF(N488=0,0,AVERAGE(B488:M488))</f>
        <v>0</v>
      </c>
      <c r="P488" s="8"/>
      <c r="Q488" s="8"/>
      <c r="R488" s="8"/>
      <c r="S488" s="8"/>
      <c r="T488" s="8"/>
      <c r="U488" s="8"/>
      <c r="V488" s="8"/>
      <c r="W488" s="8"/>
      <c r="X488" s="8"/>
      <c r="Y488" s="8"/>
      <c r="Z488" s="8"/>
    </row>
    <row r="489" spans="1:26" customFormat="1" ht="14.25">
      <c r="C489" s="4"/>
      <c r="D489" s="4"/>
      <c r="E489" s="4"/>
      <c r="F489" s="4"/>
      <c r="I489" s="4"/>
      <c r="K489" s="4"/>
      <c r="M489" s="4"/>
    </row>
    <row r="490" spans="1:26" s="9" customFormat="1" ht="15.75">
      <c r="A490" s="161" t="s">
        <v>358</v>
      </c>
      <c r="B490" s="172"/>
      <c r="C490" s="172"/>
      <c r="D490" s="172"/>
      <c r="E490" s="172"/>
      <c r="F490" s="172"/>
      <c r="G490" s="172"/>
      <c r="H490" s="172"/>
      <c r="I490" s="172"/>
      <c r="J490" s="172"/>
      <c r="K490" s="172"/>
      <c r="L490" s="172"/>
      <c r="M490" s="172"/>
      <c r="N490" s="172"/>
      <c r="O490" s="246"/>
      <c r="P490" s="8"/>
      <c r="Q490" s="8"/>
      <c r="R490" s="8"/>
      <c r="S490" s="8"/>
      <c r="T490" s="8"/>
      <c r="U490" s="8"/>
      <c r="V490" s="8"/>
      <c r="W490" s="8"/>
      <c r="X490" s="8"/>
      <c r="Y490" s="8"/>
      <c r="Z490" s="8"/>
    </row>
    <row r="491" spans="1:26" s="9" customFormat="1" ht="15.75">
      <c r="A491" s="71" t="s">
        <v>359</v>
      </c>
      <c r="B491" s="72"/>
      <c r="C491" s="72"/>
      <c r="D491" s="72"/>
      <c r="E491" s="72"/>
      <c r="F491" s="72"/>
      <c r="G491" s="72"/>
      <c r="H491" s="72"/>
      <c r="I491" s="72"/>
      <c r="J491" s="72"/>
      <c r="K491" s="72"/>
      <c r="L491" s="72"/>
      <c r="M491" s="72"/>
      <c r="N491" s="145"/>
      <c r="O491" s="247"/>
      <c r="P491" s="8"/>
      <c r="Q491" s="8"/>
      <c r="R491" s="8"/>
      <c r="S491" s="8"/>
      <c r="T491" s="8"/>
      <c r="U491" s="8"/>
      <c r="V491" s="8"/>
      <c r="W491" s="8"/>
      <c r="X491" s="8"/>
      <c r="Y491" s="8"/>
      <c r="Z491" s="8"/>
    </row>
    <row r="492" spans="1:26" s="9" customFormat="1" ht="15.75">
      <c r="A492" s="34" t="s">
        <v>105</v>
      </c>
      <c r="B492" s="18">
        <v>0</v>
      </c>
      <c r="C492" s="18">
        <v>0</v>
      </c>
      <c r="D492" s="18">
        <v>0</v>
      </c>
      <c r="E492" s="18">
        <v>0</v>
      </c>
      <c r="F492" s="18">
        <v>0</v>
      </c>
      <c r="G492" s="18">
        <v>0</v>
      </c>
      <c r="H492" s="18">
        <v>0</v>
      </c>
      <c r="I492" s="18">
        <v>0</v>
      </c>
      <c r="J492" s="18">
        <v>0</v>
      </c>
      <c r="K492" s="18">
        <v>0</v>
      </c>
      <c r="L492" s="18">
        <v>0</v>
      </c>
      <c r="M492" s="18">
        <v>0</v>
      </c>
      <c r="N492" s="133">
        <f t="shared" ref="N492:N500" si="287">SUM(B492:M492)</f>
        <v>0</v>
      </c>
      <c r="O492" s="19">
        <f t="shared" ref="O492:O500" si="288">IF(N492=0,0,AVERAGE(B492:M492))</f>
        <v>0</v>
      </c>
      <c r="P492" s="8"/>
      <c r="Q492" s="8"/>
      <c r="R492" s="8"/>
      <c r="S492" s="8"/>
      <c r="T492" s="8"/>
      <c r="U492" s="8"/>
      <c r="V492" s="8"/>
      <c r="W492" s="8"/>
      <c r="X492" s="8"/>
      <c r="Y492" s="8"/>
      <c r="Z492" s="8"/>
    </row>
    <row r="493" spans="1:26" s="9" customFormat="1" ht="15.75">
      <c r="A493" s="34" t="s">
        <v>106</v>
      </c>
      <c r="B493" s="18">
        <v>0</v>
      </c>
      <c r="C493" s="18">
        <v>0</v>
      </c>
      <c r="D493" s="18">
        <v>0</v>
      </c>
      <c r="E493" s="18">
        <v>0</v>
      </c>
      <c r="F493" s="18">
        <v>0</v>
      </c>
      <c r="G493" s="18">
        <v>0</v>
      </c>
      <c r="H493" s="18">
        <v>0</v>
      </c>
      <c r="I493" s="18">
        <v>0</v>
      </c>
      <c r="J493" s="18">
        <v>0</v>
      </c>
      <c r="K493" s="18">
        <v>0</v>
      </c>
      <c r="L493" s="18">
        <v>0</v>
      </c>
      <c r="M493" s="18">
        <v>0</v>
      </c>
      <c r="N493" s="133">
        <f t="shared" si="287"/>
        <v>0</v>
      </c>
      <c r="O493" s="19">
        <f t="shared" si="288"/>
        <v>0</v>
      </c>
      <c r="P493" s="8"/>
      <c r="Q493" s="8"/>
      <c r="R493" s="8"/>
      <c r="S493" s="8"/>
      <c r="T493" s="8"/>
      <c r="U493" s="8"/>
      <c r="V493" s="8"/>
      <c r="W493" s="8"/>
      <c r="X493" s="8"/>
      <c r="Y493" s="8"/>
      <c r="Z493" s="8"/>
    </row>
    <row r="494" spans="1:26" s="9" customFormat="1" ht="15.75">
      <c r="A494" s="34" t="s">
        <v>47</v>
      </c>
      <c r="B494" s="18">
        <v>0</v>
      </c>
      <c r="C494" s="18">
        <v>0</v>
      </c>
      <c r="D494" s="18">
        <v>0</v>
      </c>
      <c r="E494" s="18">
        <v>0</v>
      </c>
      <c r="F494" s="18">
        <v>0</v>
      </c>
      <c r="G494" s="18">
        <v>0</v>
      </c>
      <c r="H494" s="18">
        <v>0</v>
      </c>
      <c r="I494" s="18">
        <v>0</v>
      </c>
      <c r="J494" s="18">
        <v>0</v>
      </c>
      <c r="K494" s="18">
        <v>0</v>
      </c>
      <c r="L494" s="18">
        <v>0</v>
      </c>
      <c r="M494" s="18">
        <v>0</v>
      </c>
      <c r="N494" s="133">
        <f t="shared" si="287"/>
        <v>0</v>
      </c>
      <c r="O494" s="19">
        <f t="shared" si="288"/>
        <v>0</v>
      </c>
      <c r="P494" s="8"/>
      <c r="Q494" s="8"/>
      <c r="R494" s="8"/>
      <c r="S494" s="8"/>
      <c r="T494" s="8"/>
      <c r="U494" s="8"/>
      <c r="V494" s="8"/>
      <c r="W494" s="8"/>
      <c r="X494" s="8"/>
      <c r="Y494" s="8"/>
      <c r="Z494" s="8"/>
    </row>
    <row r="495" spans="1:26" s="9" customFormat="1" ht="15.75">
      <c r="A495" s="34" t="s">
        <v>107</v>
      </c>
      <c r="B495" s="18">
        <v>0</v>
      </c>
      <c r="C495" s="18">
        <v>0</v>
      </c>
      <c r="D495" s="18">
        <v>0</v>
      </c>
      <c r="E495" s="18">
        <v>0</v>
      </c>
      <c r="F495" s="18">
        <v>0</v>
      </c>
      <c r="G495" s="18">
        <v>0</v>
      </c>
      <c r="H495" s="18">
        <v>0</v>
      </c>
      <c r="I495" s="18">
        <v>0</v>
      </c>
      <c r="J495" s="18">
        <v>0</v>
      </c>
      <c r="K495" s="18">
        <v>0</v>
      </c>
      <c r="L495" s="18">
        <v>0</v>
      </c>
      <c r="M495" s="18">
        <v>0</v>
      </c>
      <c r="N495" s="133">
        <f t="shared" si="287"/>
        <v>0</v>
      </c>
      <c r="O495" s="19">
        <f t="shared" si="288"/>
        <v>0</v>
      </c>
      <c r="P495" s="8"/>
      <c r="Q495" s="8"/>
      <c r="R495" s="8"/>
      <c r="S495" s="8"/>
      <c r="T495" s="8"/>
      <c r="U495" s="8"/>
      <c r="V495" s="8"/>
      <c r="W495" s="8"/>
      <c r="X495" s="8"/>
      <c r="Y495" s="8"/>
      <c r="Z495" s="8"/>
    </row>
    <row r="496" spans="1:26" s="9" customFormat="1" ht="15.75">
      <c r="A496" s="34" t="s">
        <v>108</v>
      </c>
      <c r="B496" s="18">
        <v>0</v>
      </c>
      <c r="C496" s="18">
        <v>0</v>
      </c>
      <c r="D496" s="18">
        <v>0</v>
      </c>
      <c r="E496" s="18">
        <v>0</v>
      </c>
      <c r="F496" s="18">
        <v>0</v>
      </c>
      <c r="G496" s="18">
        <v>0</v>
      </c>
      <c r="H496" s="18">
        <v>0</v>
      </c>
      <c r="I496" s="18">
        <v>0</v>
      </c>
      <c r="J496" s="18">
        <v>0</v>
      </c>
      <c r="K496" s="18">
        <v>0</v>
      </c>
      <c r="L496" s="18">
        <v>0</v>
      </c>
      <c r="M496" s="18">
        <v>0</v>
      </c>
      <c r="N496" s="133">
        <f t="shared" si="287"/>
        <v>0</v>
      </c>
      <c r="O496" s="19">
        <f t="shared" si="288"/>
        <v>0</v>
      </c>
      <c r="P496" s="8"/>
      <c r="Q496" s="8"/>
      <c r="R496" s="8"/>
      <c r="S496" s="8"/>
      <c r="T496" s="8"/>
      <c r="U496" s="8"/>
      <c r="V496" s="8"/>
      <c r="W496" s="8"/>
      <c r="X496" s="8"/>
      <c r="Y496" s="8"/>
      <c r="Z496" s="8"/>
    </row>
    <row r="497" spans="1:26" s="9" customFormat="1" ht="15.75">
      <c r="A497" s="34" t="s">
        <v>109</v>
      </c>
      <c r="B497" s="18">
        <v>0</v>
      </c>
      <c r="C497" s="18">
        <v>0</v>
      </c>
      <c r="D497" s="18">
        <v>0</v>
      </c>
      <c r="E497" s="18">
        <v>0</v>
      </c>
      <c r="F497" s="18">
        <v>0</v>
      </c>
      <c r="G497" s="18">
        <v>0</v>
      </c>
      <c r="H497" s="18">
        <v>0</v>
      </c>
      <c r="I497" s="18">
        <v>0</v>
      </c>
      <c r="J497" s="18">
        <v>0</v>
      </c>
      <c r="K497" s="18">
        <v>0</v>
      </c>
      <c r="L497" s="18">
        <v>0</v>
      </c>
      <c r="M497" s="18">
        <v>0</v>
      </c>
      <c r="N497" s="133">
        <f t="shared" si="287"/>
        <v>0</v>
      </c>
      <c r="O497" s="19">
        <f t="shared" si="288"/>
        <v>0</v>
      </c>
      <c r="P497" s="8"/>
      <c r="Q497" s="8"/>
      <c r="R497" s="8"/>
      <c r="S497" s="8"/>
      <c r="T497" s="8"/>
      <c r="U497" s="8"/>
      <c r="V497" s="8"/>
      <c r="W497" s="8"/>
      <c r="X497" s="8"/>
      <c r="Y497" s="8"/>
      <c r="Z497" s="8"/>
    </row>
    <row r="498" spans="1:26" s="9" customFormat="1" ht="15.75">
      <c r="A498" s="34" t="s">
        <v>110</v>
      </c>
      <c r="B498" s="18">
        <v>0</v>
      </c>
      <c r="C498" s="18">
        <v>0</v>
      </c>
      <c r="D498" s="18">
        <v>0</v>
      </c>
      <c r="E498" s="18">
        <v>0</v>
      </c>
      <c r="F498" s="18">
        <v>0</v>
      </c>
      <c r="G498" s="18">
        <v>0</v>
      </c>
      <c r="H498" s="18">
        <v>0</v>
      </c>
      <c r="I498" s="18">
        <v>0</v>
      </c>
      <c r="J498" s="18">
        <v>0</v>
      </c>
      <c r="K498" s="18">
        <v>0</v>
      </c>
      <c r="L498" s="18">
        <v>0</v>
      </c>
      <c r="M498" s="18">
        <v>0</v>
      </c>
      <c r="N498" s="133">
        <f t="shared" si="287"/>
        <v>0</v>
      </c>
      <c r="O498" s="19">
        <f t="shared" si="288"/>
        <v>0</v>
      </c>
      <c r="P498" s="8"/>
      <c r="Q498" s="8"/>
      <c r="R498" s="8"/>
      <c r="S498" s="8"/>
      <c r="T498" s="8"/>
      <c r="U498" s="8"/>
      <c r="V498" s="8"/>
      <c r="W498" s="8"/>
      <c r="X498" s="8"/>
      <c r="Y498" s="8"/>
      <c r="Z498" s="8"/>
    </row>
    <row r="499" spans="1:26" s="9" customFormat="1" ht="15.75">
      <c r="A499" s="34" t="s">
        <v>111</v>
      </c>
      <c r="B499" s="18">
        <v>0</v>
      </c>
      <c r="C499" s="18">
        <v>0</v>
      </c>
      <c r="D499" s="18">
        <v>0</v>
      </c>
      <c r="E499" s="18">
        <v>0</v>
      </c>
      <c r="F499" s="18">
        <v>0</v>
      </c>
      <c r="G499" s="18">
        <v>0</v>
      </c>
      <c r="H499" s="18">
        <v>0</v>
      </c>
      <c r="I499" s="18">
        <v>0</v>
      </c>
      <c r="J499" s="18">
        <v>0</v>
      </c>
      <c r="K499" s="18">
        <v>0</v>
      </c>
      <c r="L499" s="18">
        <v>0</v>
      </c>
      <c r="M499" s="18">
        <v>0</v>
      </c>
      <c r="N499" s="133">
        <f t="shared" si="287"/>
        <v>0</v>
      </c>
      <c r="O499" s="19">
        <f t="shared" si="288"/>
        <v>0</v>
      </c>
      <c r="P499" s="8"/>
      <c r="Q499" s="8"/>
      <c r="R499" s="8"/>
      <c r="S499" s="8"/>
      <c r="T499" s="8"/>
      <c r="U499" s="8"/>
      <c r="V499" s="8"/>
      <c r="W499" s="8"/>
      <c r="X499" s="8"/>
      <c r="Y499" s="8"/>
      <c r="Z499" s="8"/>
    </row>
    <row r="500" spans="1:26" s="9" customFormat="1" ht="15.75">
      <c r="A500" s="56" t="s">
        <v>21</v>
      </c>
      <c r="B500" s="21">
        <f t="shared" ref="B500:C500" si="289">SUM(B492:B499)</f>
        <v>0</v>
      </c>
      <c r="C500" s="21">
        <f t="shared" si="289"/>
        <v>0</v>
      </c>
      <c r="D500" s="21">
        <f t="shared" ref="D500:E500" si="290">SUM(D492:D499)</f>
        <v>0</v>
      </c>
      <c r="E500" s="21">
        <f t="shared" si="290"/>
        <v>0</v>
      </c>
      <c r="F500" s="21">
        <f t="shared" ref="F500:G500" si="291">SUM(F492:F499)</f>
        <v>0</v>
      </c>
      <c r="G500" s="21">
        <f t="shared" si="291"/>
        <v>0</v>
      </c>
      <c r="H500" s="21">
        <f t="shared" ref="H500:I500" si="292">SUM(H492:H499)</f>
        <v>0</v>
      </c>
      <c r="I500" s="21">
        <f t="shared" si="292"/>
        <v>0</v>
      </c>
      <c r="J500" s="21">
        <f t="shared" ref="J500:K500" si="293">SUM(J492:J499)</f>
        <v>0</v>
      </c>
      <c r="K500" s="21">
        <f t="shared" si="293"/>
        <v>0</v>
      </c>
      <c r="L500" s="21">
        <f t="shared" ref="L500:M500" si="294">SUM(L492:L499)</f>
        <v>0</v>
      </c>
      <c r="M500" s="21">
        <f t="shared" si="294"/>
        <v>0</v>
      </c>
      <c r="N500" s="128">
        <f t="shared" si="287"/>
        <v>0</v>
      </c>
      <c r="O500" s="22">
        <f t="shared" si="288"/>
        <v>0</v>
      </c>
      <c r="P500" s="8"/>
      <c r="Q500" s="8"/>
      <c r="R500" s="8"/>
      <c r="S500" s="8"/>
      <c r="T500" s="8"/>
      <c r="U500" s="8"/>
      <c r="V500" s="8"/>
      <c r="W500" s="8"/>
      <c r="X500" s="8"/>
      <c r="Y500" s="8"/>
      <c r="Z500" s="8"/>
    </row>
    <row r="501" spans="1:26" s="9" customFormat="1" ht="15.75">
      <c r="A501" s="56" t="s">
        <v>112</v>
      </c>
      <c r="B501" s="22" t="s">
        <v>44</v>
      </c>
      <c r="C501" s="22" t="s">
        <v>44</v>
      </c>
      <c r="D501" s="22" t="s">
        <v>44</v>
      </c>
      <c r="E501" s="22" t="s">
        <v>44</v>
      </c>
      <c r="F501" s="22" t="s">
        <v>44</v>
      </c>
      <c r="G501" s="22" t="s">
        <v>44</v>
      </c>
      <c r="H501" s="22" t="s">
        <v>44</v>
      </c>
      <c r="I501" s="22" t="s">
        <v>44</v>
      </c>
      <c r="J501" s="22" t="s">
        <v>44</v>
      </c>
      <c r="K501" s="22" t="s">
        <v>44</v>
      </c>
      <c r="L501" s="22" t="s">
        <v>44</v>
      </c>
      <c r="M501" s="22" t="s">
        <v>44</v>
      </c>
      <c r="N501" s="128">
        <f>SUM(B501:M501)</f>
        <v>0</v>
      </c>
      <c r="O501" s="22">
        <f>IF(N501=0,0,AVERAGE(B501:M501))</f>
        <v>0</v>
      </c>
      <c r="P501" s="8"/>
      <c r="Q501" s="8"/>
      <c r="R501" s="8"/>
      <c r="S501" s="8"/>
      <c r="T501" s="8"/>
      <c r="U501" s="8"/>
      <c r="V501" s="8"/>
      <c r="W501" s="8"/>
      <c r="X501" s="8"/>
      <c r="Y501" s="8"/>
      <c r="Z501" s="8"/>
    </row>
    <row r="502" spans="1:26" s="9" customFormat="1" ht="15.75">
      <c r="A502" s="23"/>
      <c r="B502" s="24"/>
      <c r="C502" s="24"/>
      <c r="D502" s="24"/>
      <c r="E502" s="24"/>
      <c r="F502" s="24"/>
      <c r="G502" s="24"/>
      <c r="H502" s="24"/>
      <c r="I502" s="24"/>
      <c r="J502" s="24"/>
      <c r="K502" s="24"/>
      <c r="L502" s="24"/>
      <c r="M502" s="24"/>
      <c r="N502" s="134"/>
      <c r="O502" s="54"/>
      <c r="P502" s="8"/>
      <c r="Q502" s="8"/>
      <c r="R502" s="8"/>
      <c r="S502" s="8"/>
      <c r="T502" s="8"/>
      <c r="U502" s="8"/>
      <c r="V502" s="8"/>
      <c r="W502" s="8"/>
      <c r="X502" s="8"/>
      <c r="Y502" s="8"/>
      <c r="Z502" s="8"/>
    </row>
    <row r="503" spans="1:26" s="9" customFormat="1" ht="15.75">
      <c r="A503" s="73" t="s">
        <v>360</v>
      </c>
      <c r="B503" s="55"/>
      <c r="C503" s="55"/>
      <c r="D503" s="55"/>
      <c r="E503" s="55"/>
      <c r="F503" s="55"/>
      <c r="G503" s="55"/>
      <c r="H503" s="55"/>
      <c r="I503" s="55"/>
      <c r="J503" s="55"/>
      <c r="K503" s="55"/>
      <c r="L503" s="55"/>
      <c r="M503" s="55"/>
      <c r="N503" s="132"/>
      <c r="O503" s="16"/>
      <c r="P503" s="8"/>
      <c r="Q503" s="8"/>
      <c r="R503" s="8"/>
      <c r="S503" s="8"/>
      <c r="T503" s="8"/>
      <c r="U503" s="8"/>
      <c r="V503" s="8"/>
      <c r="W503" s="8"/>
      <c r="X503" s="8"/>
      <c r="Y503" s="8"/>
      <c r="Z503" s="8"/>
    </row>
    <row r="504" spans="1:26" s="9" customFormat="1" ht="15.75">
      <c r="A504" s="37" t="s">
        <v>114</v>
      </c>
      <c r="B504" s="18">
        <v>0</v>
      </c>
      <c r="C504" s="18">
        <v>0</v>
      </c>
      <c r="D504" s="18">
        <v>0</v>
      </c>
      <c r="E504" s="18">
        <v>0</v>
      </c>
      <c r="F504" s="18">
        <v>0</v>
      </c>
      <c r="G504" s="18">
        <v>0</v>
      </c>
      <c r="H504" s="18">
        <v>0</v>
      </c>
      <c r="I504" s="18">
        <v>0</v>
      </c>
      <c r="J504" s="18">
        <v>0</v>
      </c>
      <c r="K504" s="18">
        <v>0</v>
      </c>
      <c r="L504" s="18">
        <v>0</v>
      </c>
      <c r="M504" s="18">
        <v>0</v>
      </c>
      <c r="N504" s="133">
        <f>SUM(B504:M504)</f>
        <v>0</v>
      </c>
      <c r="O504" s="19">
        <f>IF(N504=0,0,AVERAGE(B504:M504))</f>
        <v>0</v>
      </c>
      <c r="P504" s="8"/>
      <c r="Q504" s="8"/>
      <c r="R504" s="8"/>
      <c r="S504" s="8"/>
      <c r="T504" s="8"/>
      <c r="U504" s="8"/>
      <c r="V504" s="8"/>
      <c r="W504" s="8"/>
      <c r="X504" s="8"/>
      <c r="Y504" s="8"/>
      <c r="Z504" s="8"/>
    </row>
    <row r="505" spans="1:26" s="9" customFormat="1" ht="15.75">
      <c r="A505" s="37" t="s">
        <v>18</v>
      </c>
      <c r="B505" s="18">
        <v>0</v>
      </c>
      <c r="C505" s="18">
        <v>0</v>
      </c>
      <c r="D505" s="18">
        <v>0</v>
      </c>
      <c r="E505" s="18">
        <v>0</v>
      </c>
      <c r="F505" s="18">
        <v>0</v>
      </c>
      <c r="G505" s="18">
        <v>0</v>
      </c>
      <c r="H505" s="18">
        <v>0</v>
      </c>
      <c r="I505" s="18">
        <v>0</v>
      </c>
      <c r="J505" s="18">
        <v>0</v>
      </c>
      <c r="K505" s="18">
        <v>0</v>
      </c>
      <c r="L505" s="18">
        <v>0</v>
      </c>
      <c r="M505" s="18">
        <v>0</v>
      </c>
      <c r="N505" s="133">
        <f>SUM(B505:M505)</f>
        <v>0</v>
      </c>
      <c r="O505" s="19">
        <f>IF(N505=0,0,AVERAGE(B505:M505))</f>
        <v>0</v>
      </c>
      <c r="P505" s="8"/>
      <c r="Q505" s="8"/>
      <c r="R505" s="8"/>
      <c r="S505" s="8"/>
      <c r="T505" s="8"/>
      <c r="U505" s="8"/>
      <c r="V505" s="8"/>
      <c r="W505" s="8"/>
      <c r="X505" s="8"/>
      <c r="Y505" s="8"/>
      <c r="Z505" s="8"/>
    </row>
    <row r="506" spans="1:26" s="9" customFormat="1" ht="15.75">
      <c r="A506" s="37" t="s">
        <v>19</v>
      </c>
      <c r="B506" s="18">
        <v>0</v>
      </c>
      <c r="C506" s="18">
        <v>0</v>
      </c>
      <c r="D506" s="18">
        <v>0</v>
      </c>
      <c r="E506" s="18">
        <v>0</v>
      </c>
      <c r="F506" s="18">
        <v>0</v>
      </c>
      <c r="G506" s="18">
        <v>0</v>
      </c>
      <c r="H506" s="18">
        <v>0</v>
      </c>
      <c r="I506" s="18">
        <v>0</v>
      </c>
      <c r="J506" s="18">
        <v>0</v>
      </c>
      <c r="K506" s="18">
        <v>0</v>
      </c>
      <c r="L506" s="18">
        <v>0</v>
      </c>
      <c r="M506" s="18">
        <v>0</v>
      </c>
      <c r="N506" s="133">
        <f>SUM(B506:M506)</f>
        <v>0</v>
      </c>
      <c r="O506" s="19">
        <f>IF(N506=0,0,AVERAGE(B506:M506))</f>
        <v>0</v>
      </c>
      <c r="P506" s="8"/>
      <c r="Q506" s="8"/>
      <c r="R506" s="8"/>
      <c r="S506" s="8"/>
      <c r="T506" s="8"/>
      <c r="U506" s="8"/>
      <c r="V506" s="8"/>
      <c r="W506" s="8"/>
      <c r="X506" s="8"/>
      <c r="Y506" s="8"/>
      <c r="Z506" s="8"/>
    </row>
    <row r="507" spans="1:26" s="9" customFormat="1" ht="15.75">
      <c r="A507" s="37" t="s">
        <v>20</v>
      </c>
      <c r="B507" s="18">
        <v>0</v>
      </c>
      <c r="C507" s="18">
        <v>0</v>
      </c>
      <c r="D507" s="18">
        <v>0</v>
      </c>
      <c r="E507" s="18">
        <v>0</v>
      </c>
      <c r="F507" s="18">
        <v>0</v>
      </c>
      <c r="G507" s="18">
        <v>0</v>
      </c>
      <c r="H507" s="18">
        <v>0</v>
      </c>
      <c r="I507" s="18">
        <v>0</v>
      </c>
      <c r="J507" s="18">
        <v>0</v>
      </c>
      <c r="K507" s="18">
        <v>0</v>
      </c>
      <c r="L507" s="18">
        <v>0</v>
      </c>
      <c r="M507" s="18">
        <v>0</v>
      </c>
      <c r="N507" s="133">
        <f>SUM(B507:M507)</f>
        <v>0</v>
      </c>
      <c r="O507" s="19">
        <f>IF(N507=0,0,AVERAGE(B507:M507))</f>
        <v>0</v>
      </c>
      <c r="P507" s="8"/>
      <c r="Q507" s="8"/>
      <c r="R507" s="8"/>
      <c r="S507" s="8"/>
      <c r="T507" s="8"/>
      <c r="U507" s="8"/>
      <c r="V507" s="8"/>
      <c r="W507" s="8"/>
      <c r="X507" s="8"/>
      <c r="Y507" s="8"/>
      <c r="Z507" s="8"/>
    </row>
    <row r="508" spans="1:26" s="9" customFormat="1" ht="15.75">
      <c r="A508" s="37" t="s">
        <v>22</v>
      </c>
      <c r="B508" s="18">
        <v>0</v>
      </c>
      <c r="C508" s="18">
        <v>0</v>
      </c>
      <c r="D508" s="18">
        <v>0</v>
      </c>
      <c r="E508" s="18">
        <v>0</v>
      </c>
      <c r="F508" s="18">
        <v>0</v>
      </c>
      <c r="G508" s="18">
        <v>0</v>
      </c>
      <c r="H508" s="18">
        <v>0</v>
      </c>
      <c r="I508" s="18">
        <v>0</v>
      </c>
      <c r="J508" s="18">
        <v>0</v>
      </c>
      <c r="K508" s="18">
        <v>0</v>
      </c>
      <c r="L508" s="18">
        <v>0</v>
      </c>
      <c r="M508" s="18">
        <v>0</v>
      </c>
      <c r="N508" s="133">
        <f>SUM(B508:M508)</f>
        <v>0</v>
      </c>
      <c r="O508" s="19">
        <f>IF(N508=0,0,AVERAGE(B508:M508))</f>
        <v>0</v>
      </c>
      <c r="P508" s="8"/>
      <c r="Q508" s="8"/>
      <c r="R508" s="8"/>
      <c r="S508" s="8"/>
      <c r="T508" s="8"/>
      <c r="U508" s="8"/>
      <c r="V508" s="8"/>
      <c r="W508" s="8"/>
      <c r="X508" s="8"/>
      <c r="Y508" s="8"/>
      <c r="Z508" s="8"/>
    </row>
    <row r="509" spans="1:26" s="9" customFormat="1" ht="15.75">
      <c r="A509" s="56" t="s">
        <v>21</v>
      </c>
      <c r="B509" s="21">
        <f t="shared" ref="B509:C509" si="295">SUM(B504:B508)</f>
        <v>0</v>
      </c>
      <c r="C509" s="21">
        <f t="shared" si="295"/>
        <v>0</v>
      </c>
      <c r="D509" s="21">
        <f t="shared" ref="D509:E509" si="296">SUM(D504:D508)</f>
        <v>0</v>
      </c>
      <c r="E509" s="21">
        <f t="shared" si="296"/>
        <v>0</v>
      </c>
      <c r="F509" s="21">
        <f t="shared" ref="F509:G509" si="297">SUM(F504:F508)</f>
        <v>0</v>
      </c>
      <c r="G509" s="21">
        <f t="shared" si="297"/>
        <v>0</v>
      </c>
      <c r="H509" s="21">
        <f t="shared" ref="H509:I509" si="298">SUM(H504:H508)</f>
        <v>0</v>
      </c>
      <c r="I509" s="21">
        <f t="shared" si="298"/>
        <v>0</v>
      </c>
      <c r="J509" s="21">
        <f t="shared" ref="J509:K509" si="299">SUM(J504:J508)</f>
        <v>0</v>
      </c>
      <c r="K509" s="21">
        <f t="shared" si="299"/>
        <v>0</v>
      </c>
      <c r="L509" s="21">
        <f t="shared" ref="L509:M509" si="300">SUM(L504:L508)</f>
        <v>0</v>
      </c>
      <c r="M509" s="21">
        <f t="shared" si="300"/>
        <v>0</v>
      </c>
      <c r="N509" s="128">
        <f>SUM(N504:N508)</f>
        <v>0</v>
      </c>
      <c r="O509" s="22">
        <f>SUM(O504:O508)</f>
        <v>0</v>
      </c>
      <c r="P509" s="8"/>
      <c r="Q509" s="8"/>
      <c r="R509" s="8"/>
      <c r="S509" s="8"/>
      <c r="T509" s="8"/>
      <c r="U509" s="8"/>
      <c r="V509" s="8"/>
      <c r="W509" s="8"/>
      <c r="X509" s="8"/>
      <c r="Y509" s="8"/>
      <c r="Z509" s="8"/>
    </row>
    <row r="510" spans="1:26" s="9" customFormat="1">
      <c r="A510" s="23"/>
      <c r="B510" s="24"/>
      <c r="C510" s="24"/>
      <c r="D510" s="24"/>
      <c r="E510" s="25"/>
      <c r="F510" s="25"/>
      <c r="G510" s="25"/>
      <c r="H510" s="25"/>
      <c r="I510" s="25"/>
      <c r="J510" s="25"/>
      <c r="K510" s="25"/>
      <c r="L510" s="25"/>
      <c r="M510" s="25"/>
      <c r="N510" s="134"/>
      <c r="O510" s="13"/>
      <c r="P510" s="8"/>
      <c r="Q510" s="8"/>
      <c r="R510" s="8"/>
      <c r="S510" s="8"/>
      <c r="T510" s="8"/>
      <c r="U510" s="8"/>
      <c r="V510" s="8"/>
      <c r="W510" s="8"/>
      <c r="X510" s="8"/>
      <c r="Y510" s="8"/>
      <c r="Z510" s="8"/>
    </row>
    <row r="511" spans="1:26" s="9" customFormat="1" ht="15.75">
      <c r="A511" s="14" t="s">
        <v>365</v>
      </c>
      <c r="B511" s="15"/>
      <c r="C511" s="15"/>
      <c r="D511" s="15"/>
      <c r="E511" s="15"/>
      <c r="F511" s="15"/>
      <c r="G511" s="15"/>
      <c r="H511" s="15"/>
      <c r="I511" s="15"/>
      <c r="J511" s="15"/>
      <c r="K511" s="15"/>
      <c r="L511" s="15"/>
      <c r="M511" s="15"/>
      <c r="N511" s="132"/>
      <c r="O511" s="16"/>
      <c r="P511" s="8"/>
      <c r="Q511" s="8"/>
      <c r="R511" s="8"/>
      <c r="S511" s="8"/>
      <c r="T511" s="8"/>
      <c r="U511" s="8"/>
      <c r="V511" s="8"/>
      <c r="W511" s="8"/>
      <c r="X511" s="8"/>
      <c r="Y511" s="8"/>
      <c r="Z511" s="8"/>
    </row>
    <row r="512" spans="1:26" s="9" customFormat="1" ht="15.75">
      <c r="A512" s="60" t="s">
        <v>366</v>
      </c>
      <c r="B512" s="15"/>
      <c r="C512" s="15"/>
      <c r="D512" s="15"/>
      <c r="E512" s="15"/>
      <c r="F512" s="15"/>
      <c r="G512" s="15"/>
      <c r="H512" s="15"/>
      <c r="I512" s="15"/>
      <c r="J512" s="15"/>
      <c r="K512" s="15"/>
      <c r="L512" s="15"/>
      <c r="M512" s="15"/>
      <c r="N512" s="132"/>
      <c r="O512" s="16"/>
      <c r="P512" s="8"/>
      <c r="Q512" s="8"/>
      <c r="R512" s="8"/>
      <c r="S512" s="8"/>
      <c r="T512" s="8"/>
      <c r="U512" s="8"/>
      <c r="V512" s="8"/>
      <c r="W512" s="8"/>
      <c r="X512" s="8"/>
      <c r="Y512" s="8"/>
      <c r="Z512" s="8"/>
    </row>
    <row r="513" spans="1:26" s="9" customFormat="1" ht="15.75">
      <c r="A513" s="34" t="s">
        <v>115</v>
      </c>
      <c r="B513" s="18">
        <v>5891</v>
      </c>
      <c r="C513" s="18">
        <v>3777</v>
      </c>
      <c r="D513" s="18">
        <v>4033</v>
      </c>
      <c r="E513" s="18">
        <v>3397</v>
      </c>
      <c r="F513" s="18">
        <v>5113</v>
      </c>
      <c r="G513" s="18">
        <v>5674</v>
      </c>
      <c r="H513" s="18">
        <v>6446</v>
      </c>
      <c r="I513" s="18">
        <v>6610</v>
      </c>
      <c r="J513" s="81">
        <v>6289</v>
      </c>
      <c r="K513" s="81">
        <v>6760</v>
      </c>
      <c r="L513" s="18">
        <v>6568</v>
      </c>
      <c r="M513" s="18">
        <v>5977</v>
      </c>
      <c r="N513" s="133">
        <f t="shared" ref="N513:N518" si="301">SUM(B513:M513)</f>
        <v>66535</v>
      </c>
      <c r="O513" s="19">
        <f t="shared" ref="O513:O518" si="302">IF(N513=0,0,AVERAGE(B513:M513))</f>
        <v>5544.583333333333</v>
      </c>
      <c r="P513" s="8"/>
      <c r="Q513" s="8"/>
      <c r="R513" s="8"/>
      <c r="S513" s="8"/>
      <c r="T513" s="8"/>
      <c r="U513" s="8"/>
      <c r="V513" s="8"/>
      <c r="W513" s="8"/>
      <c r="X513" s="8"/>
      <c r="Y513" s="8"/>
      <c r="Z513" s="8"/>
    </row>
    <row r="514" spans="1:26" s="9" customFormat="1" ht="15.75">
      <c r="A514" s="34" t="s">
        <v>116</v>
      </c>
      <c r="B514" s="18">
        <f>68+91</f>
        <v>159</v>
      </c>
      <c r="C514" s="18">
        <v>146</v>
      </c>
      <c r="D514" s="18">
        <f>36+62</f>
        <v>98</v>
      </c>
      <c r="E514" s="18">
        <f>21+42</f>
        <v>63</v>
      </c>
      <c r="F514" s="18">
        <f>71+63</f>
        <v>134</v>
      </c>
      <c r="G514" s="18">
        <f>45+109</f>
        <v>154</v>
      </c>
      <c r="H514" s="18">
        <f>56+116</f>
        <v>172</v>
      </c>
      <c r="I514" s="18">
        <f>86+97</f>
        <v>183</v>
      </c>
      <c r="J514" s="81">
        <f>82+87</f>
        <v>169</v>
      </c>
      <c r="K514" s="81">
        <f>71+96</f>
        <v>167</v>
      </c>
      <c r="L514" s="81">
        <f>109+43</f>
        <v>152</v>
      </c>
      <c r="M514" s="18">
        <f>43+92</f>
        <v>135</v>
      </c>
      <c r="N514" s="133">
        <f t="shared" si="301"/>
        <v>1732</v>
      </c>
      <c r="O514" s="19">
        <f t="shared" si="302"/>
        <v>144.33333333333334</v>
      </c>
      <c r="P514" s="8"/>
      <c r="Q514" s="8"/>
      <c r="R514" s="8"/>
      <c r="S514" s="8"/>
      <c r="T514" s="8"/>
      <c r="U514" s="8"/>
      <c r="V514" s="8"/>
      <c r="W514" s="8"/>
      <c r="X514" s="8"/>
      <c r="Y514" s="8"/>
      <c r="Z514" s="8"/>
    </row>
    <row r="515" spans="1:26" s="9" customFormat="1" ht="15.75">
      <c r="A515" s="34" t="s">
        <v>117</v>
      </c>
      <c r="B515" s="18">
        <v>14</v>
      </c>
      <c r="C515" s="18">
        <v>32</v>
      </c>
      <c r="D515" s="18">
        <v>11</v>
      </c>
      <c r="E515" s="18">
        <v>2</v>
      </c>
      <c r="F515" s="18">
        <v>22</v>
      </c>
      <c r="G515" s="18">
        <v>22</v>
      </c>
      <c r="H515" s="18">
        <v>20</v>
      </c>
      <c r="I515" s="18">
        <v>15</v>
      </c>
      <c r="J515" s="18">
        <v>13</v>
      </c>
      <c r="K515" s="18">
        <v>19</v>
      </c>
      <c r="L515" s="18">
        <v>21</v>
      </c>
      <c r="M515" s="18">
        <v>37</v>
      </c>
      <c r="N515" s="133">
        <f t="shared" si="301"/>
        <v>228</v>
      </c>
      <c r="O515" s="19">
        <f t="shared" si="302"/>
        <v>19</v>
      </c>
      <c r="P515" s="8"/>
      <c r="Q515" s="8"/>
      <c r="R515" s="8"/>
      <c r="S515" s="8"/>
      <c r="T515" s="8"/>
      <c r="U515" s="8"/>
      <c r="V515" s="8"/>
      <c r="W515" s="8"/>
      <c r="X515" s="8"/>
      <c r="Y515" s="8"/>
      <c r="Z515" s="8"/>
    </row>
    <row r="516" spans="1:26" s="9" customFormat="1" ht="30">
      <c r="A516" s="34" t="s">
        <v>578</v>
      </c>
      <c r="B516" s="18">
        <v>35</v>
      </c>
      <c r="C516" s="18">
        <v>0</v>
      </c>
      <c r="D516" s="18">
        <v>0</v>
      </c>
      <c r="E516" s="18">
        <v>0</v>
      </c>
      <c r="F516" s="18">
        <v>0</v>
      </c>
      <c r="G516" s="18">
        <v>0</v>
      </c>
      <c r="H516" s="18">
        <v>0</v>
      </c>
      <c r="I516" s="18">
        <v>0</v>
      </c>
      <c r="J516" s="18">
        <v>19</v>
      </c>
      <c r="K516" s="18">
        <v>1</v>
      </c>
      <c r="L516" s="18">
        <v>0</v>
      </c>
      <c r="M516" s="18">
        <v>0</v>
      </c>
      <c r="N516" s="133">
        <f t="shared" si="301"/>
        <v>55</v>
      </c>
      <c r="O516" s="19">
        <f t="shared" si="302"/>
        <v>4.583333333333333</v>
      </c>
      <c r="P516" s="8"/>
      <c r="Q516" s="8"/>
      <c r="R516" s="8"/>
      <c r="S516" s="8"/>
      <c r="T516" s="8"/>
      <c r="U516" s="8"/>
      <c r="V516" s="8"/>
      <c r="W516" s="8"/>
      <c r="X516" s="8"/>
      <c r="Y516" s="8"/>
      <c r="Z516" s="8"/>
    </row>
    <row r="517" spans="1:26" s="9" customFormat="1" ht="14.25" customHeight="1">
      <c r="A517" s="34" t="s">
        <v>118</v>
      </c>
      <c r="B517" s="18">
        <v>0</v>
      </c>
      <c r="C517" s="18">
        <v>0</v>
      </c>
      <c r="D517" s="18">
        <v>0</v>
      </c>
      <c r="E517" s="18">
        <v>0</v>
      </c>
      <c r="F517" s="18">
        <v>0</v>
      </c>
      <c r="G517" s="18">
        <v>0</v>
      </c>
      <c r="H517" s="18">
        <v>0</v>
      </c>
      <c r="I517" s="18">
        <v>0</v>
      </c>
      <c r="J517" s="18">
        <v>0</v>
      </c>
      <c r="K517" s="18">
        <v>0</v>
      </c>
      <c r="L517" s="18">
        <v>0</v>
      </c>
      <c r="M517" s="18">
        <v>0</v>
      </c>
      <c r="N517" s="133">
        <f t="shared" si="301"/>
        <v>0</v>
      </c>
      <c r="O517" s="19">
        <f t="shared" si="302"/>
        <v>0</v>
      </c>
      <c r="P517" s="8"/>
      <c r="Q517" s="8"/>
      <c r="R517" s="8"/>
      <c r="S517" s="8"/>
      <c r="T517" s="8"/>
      <c r="U517" s="8"/>
      <c r="V517" s="8"/>
      <c r="W517" s="8"/>
      <c r="X517" s="8"/>
      <c r="Y517" s="8"/>
      <c r="Z517" s="8"/>
    </row>
    <row r="518" spans="1:26" s="9" customFormat="1" ht="15.75">
      <c r="A518" s="34" t="s">
        <v>22</v>
      </c>
      <c r="B518" s="18">
        <v>0</v>
      </c>
      <c r="C518" s="18">
        <v>0</v>
      </c>
      <c r="D518" s="18">
        <v>0</v>
      </c>
      <c r="E518" s="18">
        <v>0</v>
      </c>
      <c r="F518" s="18">
        <v>0</v>
      </c>
      <c r="G518" s="18">
        <v>0</v>
      </c>
      <c r="H518" s="18">
        <v>0</v>
      </c>
      <c r="I518" s="18">
        <v>0</v>
      </c>
      <c r="J518" s="18">
        <v>0</v>
      </c>
      <c r="K518" s="18">
        <v>0</v>
      </c>
      <c r="L518" s="18">
        <v>0</v>
      </c>
      <c r="M518" s="18">
        <v>0</v>
      </c>
      <c r="N518" s="133">
        <f t="shared" si="301"/>
        <v>0</v>
      </c>
      <c r="O518" s="19">
        <f t="shared" si="302"/>
        <v>0</v>
      </c>
      <c r="P518" s="8"/>
      <c r="Q518" s="8"/>
      <c r="R518" s="8"/>
      <c r="S518" s="8"/>
      <c r="T518" s="8"/>
      <c r="U518" s="8"/>
      <c r="V518" s="8"/>
      <c r="W518" s="8"/>
      <c r="X518" s="8"/>
      <c r="Y518" s="8"/>
      <c r="Z518" s="8"/>
    </row>
    <row r="519" spans="1:26" s="9" customFormat="1" ht="15.75">
      <c r="A519" s="56" t="s">
        <v>21</v>
      </c>
      <c r="B519" s="21">
        <f t="shared" ref="B519:M519" si="303">SUM(B513:B518)</f>
        <v>6099</v>
      </c>
      <c r="C519" s="21">
        <f t="shared" si="303"/>
        <v>3955</v>
      </c>
      <c r="D519" s="21">
        <f t="shared" si="303"/>
        <v>4142</v>
      </c>
      <c r="E519" s="21">
        <f t="shared" si="303"/>
        <v>3462</v>
      </c>
      <c r="F519" s="21">
        <f t="shared" si="303"/>
        <v>5269</v>
      </c>
      <c r="G519" s="21">
        <f t="shared" si="303"/>
        <v>5850</v>
      </c>
      <c r="H519" s="21">
        <f t="shared" si="303"/>
        <v>6638</v>
      </c>
      <c r="I519" s="21">
        <f t="shared" si="303"/>
        <v>6808</v>
      </c>
      <c r="J519" s="21">
        <f t="shared" si="303"/>
        <v>6490</v>
      </c>
      <c r="K519" s="21">
        <f t="shared" si="303"/>
        <v>6947</v>
      </c>
      <c r="L519" s="21">
        <f t="shared" si="303"/>
        <v>6741</v>
      </c>
      <c r="M519" s="21">
        <f t="shared" si="303"/>
        <v>6149</v>
      </c>
      <c r="N519" s="128">
        <f>SUM(N513:N518)</f>
        <v>68550</v>
      </c>
      <c r="O519" s="22">
        <f>SUM(O513:O518)</f>
        <v>5712.4999999999991</v>
      </c>
      <c r="P519" s="8"/>
      <c r="Q519" s="8"/>
      <c r="R519" s="8"/>
      <c r="S519" s="8"/>
      <c r="T519" s="8"/>
      <c r="U519" s="8"/>
      <c r="V519" s="8"/>
      <c r="W519" s="8"/>
      <c r="X519" s="8"/>
      <c r="Y519" s="8"/>
      <c r="Z519" s="8"/>
    </row>
    <row r="520" spans="1:26" s="9" customFormat="1">
      <c r="A520" s="23"/>
      <c r="B520" s="24"/>
      <c r="C520" s="24"/>
      <c r="D520" s="24"/>
      <c r="E520" s="25"/>
      <c r="F520" s="25"/>
      <c r="G520" s="25"/>
      <c r="H520" s="25"/>
      <c r="I520" s="25"/>
      <c r="J520" s="25"/>
      <c r="K520" s="25"/>
      <c r="L520" s="25"/>
      <c r="M520" s="25"/>
      <c r="N520" s="134"/>
      <c r="O520" s="13"/>
      <c r="P520" s="8"/>
      <c r="Q520" s="8"/>
      <c r="R520" s="8"/>
      <c r="S520" s="8"/>
      <c r="T520" s="8"/>
      <c r="U520" s="8"/>
      <c r="V520" s="8"/>
      <c r="W520" s="8"/>
      <c r="X520" s="8"/>
      <c r="Y520" s="8"/>
      <c r="Z520" s="8"/>
    </row>
    <row r="521" spans="1:26" s="9" customFormat="1" ht="15.75">
      <c r="A521" s="60" t="s">
        <v>367</v>
      </c>
      <c r="B521" s="15"/>
      <c r="C521" s="15"/>
      <c r="D521" s="15"/>
      <c r="E521" s="15"/>
      <c r="F521" s="15"/>
      <c r="G521" s="15"/>
      <c r="H521" s="15"/>
      <c r="I521" s="15"/>
      <c r="J521" s="15"/>
      <c r="K521" s="15"/>
      <c r="L521" s="15"/>
      <c r="M521" s="15"/>
      <c r="N521" s="132"/>
      <c r="O521" s="16"/>
      <c r="P521" s="8"/>
      <c r="Q521" s="8"/>
      <c r="R521" s="8"/>
      <c r="S521" s="8"/>
      <c r="T521" s="8"/>
      <c r="U521" s="8"/>
      <c r="V521" s="8"/>
      <c r="W521" s="8"/>
      <c r="X521" s="8"/>
      <c r="Y521" s="8"/>
      <c r="Z521" s="8"/>
    </row>
    <row r="522" spans="1:26" s="9" customFormat="1" ht="15.75">
      <c r="A522" s="34" t="s">
        <v>114</v>
      </c>
      <c r="B522" s="18">
        <v>181</v>
      </c>
      <c r="C522" s="18">
        <v>182</v>
      </c>
      <c r="D522" s="18">
        <v>235</v>
      </c>
      <c r="E522" s="18">
        <v>77</v>
      </c>
      <c r="F522" s="18">
        <v>148</v>
      </c>
      <c r="G522" s="18">
        <v>212</v>
      </c>
      <c r="H522" s="18">
        <v>207</v>
      </c>
      <c r="I522" s="18">
        <v>207</v>
      </c>
      <c r="J522" s="81">
        <v>170</v>
      </c>
      <c r="K522" s="18">
        <v>156</v>
      </c>
      <c r="L522" s="18">
        <v>158</v>
      </c>
      <c r="M522" s="18">
        <v>221</v>
      </c>
      <c r="N522" s="133">
        <f>SUM(B522:M522)</f>
        <v>2154</v>
      </c>
      <c r="O522" s="19">
        <f>IF(N522=0,0,AVERAGE(B522:M522))</f>
        <v>179.5</v>
      </c>
      <c r="P522" s="8"/>
      <c r="Q522" s="8"/>
      <c r="R522" s="8"/>
      <c r="S522" s="8"/>
      <c r="T522" s="8"/>
      <c r="U522" s="8"/>
      <c r="V522" s="8"/>
      <c r="W522" s="8"/>
      <c r="X522" s="8"/>
      <c r="Y522" s="8"/>
      <c r="Z522" s="8"/>
    </row>
    <row r="523" spans="1:26" s="9" customFormat="1" ht="15.75">
      <c r="A523" s="34" t="s">
        <v>119</v>
      </c>
      <c r="B523" s="18">
        <v>2533</v>
      </c>
      <c r="C523" s="18">
        <v>2247</v>
      </c>
      <c r="D523" s="18">
        <v>1244</v>
      </c>
      <c r="E523" s="18">
        <v>473</v>
      </c>
      <c r="F523" s="18">
        <v>2440</v>
      </c>
      <c r="G523" s="18">
        <v>2783</v>
      </c>
      <c r="H523" s="18">
        <v>3038</v>
      </c>
      <c r="I523" s="18">
        <v>3215</v>
      </c>
      <c r="J523" s="81">
        <v>2593</v>
      </c>
      <c r="K523" s="18">
        <v>2958</v>
      </c>
      <c r="L523" s="18">
        <v>2516</v>
      </c>
      <c r="M523" s="18">
        <v>2905</v>
      </c>
      <c r="N523" s="133">
        <f>SUM(B523:M523)</f>
        <v>28945</v>
      </c>
      <c r="O523" s="19">
        <f>IF(N523=0,0,AVERAGE(B523:M523))</f>
        <v>2412.0833333333335</v>
      </c>
      <c r="P523" s="8"/>
      <c r="Q523" s="8"/>
      <c r="R523" s="8"/>
      <c r="S523" s="8"/>
      <c r="T523" s="8"/>
      <c r="U523" s="8"/>
      <c r="V523" s="8"/>
      <c r="W523" s="8"/>
      <c r="X523" s="8"/>
      <c r="Y523" s="8"/>
      <c r="Z523" s="8"/>
    </row>
    <row r="524" spans="1:26" s="9" customFormat="1" ht="15.75">
      <c r="A524" s="37" t="s">
        <v>18</v>
      </c>
      <c r="B524" s="18">
        <v>224</v>
      </c>
      <c r="C524" s="18">
        <f>38+69</f>
        <v>107</v>
      </c>
      <c r="D524" s="18">
        <v>353</v>
      </c>
      <c r="E524" s="18">
        <v>545</v>
      </c>
      <c r="F524" s="18">
        <v>73</v>
      </c>
      <c r="G524" s="18">
        <v>91</v>
      </c>
      <c r="H524" s="18">
        <v>143</v>
      </c>
      <c r="I524" s="18">
        <v>158</v>
      </c>
      <c r="J524" s="18">
        <v>103</v>
      </c>
      <c r="K524" s="18">
        <v>149</v>
      </c>
      <c r="L524" s="18">
        <v>188</v>
      </c>
      <c r="M524" s="18">
        <v>182</v>
      </c>
      <c r="N524" s="133">
        <f t="shared" ref="N524:N527" si="304">SUM(B524:M524)</f>
        <v>2316</v>
      </c>
      <c r="O524" s="19">
        <f t="shared" ref="O524:O527" si="305">IF(N524=0,0,AVERAGE(B524:M524))</f>
        <v>193</v>
      </c>
      <c r="P524" s="8"/>
      <c r="Q524" s="8"/>
      <c r="R524" s="8"/>
      <c r="S524" s="8"/>
      <c r="T524" s="8"/>
      <c r="U524" s="8"/>
      <c r="V524" s="8"/>
      <c r="W524" s="8"/>
      <c r="X524" s="8"/>
      <c r="Y524" s="8"/>
      <c r="Z524" s="8"/>
    </row>
    <row r="525" spans="1:26" s="9" customFormat="1" ht="15.75">
      <c r="A525" s="34" t="s">
        <v>19</v>
      </c>
      <c r="B525" s="18">
        <v>209</v>
      </c>
      <c r="C525" s="18">
        <v>249</v>
      </c>
      <c r="D525" s="18">
        <v>192</v>
      </c>
      <c r="E525" s="18">
        <v>300</v>
      </c>
      <c r="F525" s="18">
        <v>205</v>
      </c>
      <c r="G525" s="18">
        <v>216</v>
      </c>
      <c r="H525" s="18">
        <v>180</v>
      </c>
      <c r="I525" s="18">
        <v>274</v>
      </c>
      <c r="J525" s="18">
        <v>232</v>
      </c>
      <c r="K525" s="18">
        <v>175</v>
      </c>
      <c r="L525" s="18">
        <v>146</v>
      </c>
      <c r="M525" s="18">
        <v>206</v>
      </c>
      <c r="N525" s="133">
        <f t="shared" si="304"/>
        <v>2584</v>
      </c>
      <c r="O525" s="19">
        <f t="shared" si="305"/>
        <v>215.33333333333334</v>
      </c>
      <c r="P525" s="8"/>
      <c r="Q525" s="8"/>
      <c r="R525" s="8"/>
      <c r="S525" s="8"/>
      <c r="T525" s="8"/>
      <c r="U525" s="8"/>
      <c r="V525" s="8"/>
      <c r="W525" s="8"/>
      <c r="X525" s="8"/>
      <c r="Y525" s="8"/>
      <c r="Z525" s="8"/>
    </row>
    <row r="526" spans="1:26" s="9" customFormat="1" ht="15.75">
      <c r="A526" s="34" t="s">
        <v>30</v>
      </c>
      <c r="B526" s="18">
        <v>649</v>
      </c>
      <c r="C526" s="18">
        <v>530</v>
      </c>
      <c r="D526" s="18">
        <v>467</v>
      </c>
      <c r="E526" s="18">
        <v>48</v>
      </c>
      <c r="F526" s="18">
        <v>298</v>
      </c>
      <c r="G526" s="18">
        <v>538</v>
      </c>
      <c r="H526" s="18">
        <v>672</v>
      </c>
      <c r="I526" s="18">
        <v>676</v>
      </c>
      <c r="J526" s="18">
        <v>585</v>
      </c>
      <c r="K526" s="18">
        <v>409</v>
      </c>
      <c r="L526" s="18">
        <v>429</v>
      </c>
      <c r="M526" s="18">
        <v>546</v>
      </c>
      <c r="N526" s="133">
        <f>SUM(B526:M526)</f>
        <v>5847</v>
      </c>
      <c r="O526" s="19">
        <f>IF(N526=0,0,AVERAGE(B526:M526))</f>
        <v>487.25</v>
      </c>
      <c r="P526" s="8"/>
      <c r="Q526" s="8"/>
      <c r="R526" s="8"/>
      <c r="S526" s="8"/>
      <c r="T526" s="8"/>
      <c r="U526" s="8"/>
      <c r="V526" s="8"/>
      <c r="W526" s="8"/>
      <c r="X526" s="8"/>
      <c r="Y526" s="8"/>
      <c r="Z526" s="8"/>
    </row>
    <row r="527" spans="1:26" s="9" customFormat="1" ht="15.75">
      <c r="A527" s="37" t="s">
        <v>43</v>
      </c>
      <c r="B527" s="18">
        <v>640</v>
      </c>
      <c r="C527" s="18">
        <v>631</v>
      </c>
      <c r="D527" s="18">
        <v>817</v>
      </c>
      <c r="E527" s="18">
        <v>766</v>
      </c>
      <c r="F527" s="18">
        <v>731</v>
      </c>
      <c r="G527" s="18">
        <v>778</v>
      </c>
      <c r="H527" s="18">
        <v>878</v>
      </c>
      <c r="I527" s="18">
        <v>727</v>
      </c>
      <c r="J527" s="18">
        <v>770</v>
      </c>
      <c r="K527" s="18">
        <v>1267</v>
      </c>
      <c r="L527" s="18">
        <v>1076</v>
      </c>
      <c r="M527" s="18">
        <v>1218</v>
      </c>
      <c r="N527" s="133">
        <f t="shared" si="304"/>
        <v>10299</v>
      </c>
      <c r="O527" s="19">
        <f t="shared" si="305"/>
        <v>858.25</v>
      </c>
      <c r="P527" s="10"/>
      <c r="Q527" s="10"/>
      <c r="R527" s="10"/>
      <c r="S527" s="10"/>
      <c r="T527" s="10"/>
      <c r="U527" s="10"/>
      <c r="V527" s="10"/>
      <c r="W527" s="10"/>
      <c r="X527" s="10"/>
      <c r="Y527" s="10"/>
      <c r="Z527" s="10"/>
    </row>
    <row r="528" spans="1:26" s="9" customFormat="1" ht="15.75">
      <c r="A528" s="56" t="s">
        <v>21</v>
      </c>
      <c r="B528" s="21">
        <f t="shared" ref="B528:M528" si="306">SUM(B522:B527)</f>
        <v>4436</v>
      </c>
      <c r="C528" s="21">
        <f t="shared" si="306"/>
        <v>3946</v>
      </c>
      <c r="D528" s="21">
        <f t="shared" si="306"/>
        <v>3308</v>
      </c>
      <c r="E528" s="21">
        <f t="shared" si="306"/>
        <v>2209</v>
      </c>
      <c r="F528" s="21">
        <f t="shared" si="306"/>
        <v>3895</v>
      </c>
      <c r="G528" s="21">
        <f t="shared" si="306"/>
        <v>4618</v>
      </c>
      <c r="H528" s="21">
        <f t="shared" si="306"/>
        <v>5118</v>
      </c>
      <c r="I528" s="21">
        <f t="shared" si="306"/>
        <v>5257</v>
      </c>
      <c r="J528" s="21">
        <f t="shared" si="306"/>
        <v>4453</v>
      </c>
      <c r="K528" s="21">
        <f t="shared" si="306"/>
        <v>5114</v>
      </c>
      <c r="L528" s="21">
        <f t="shared" si="306"/>
        <v>4513</v>
      </c>
      <c r="M528" s="21">
        <f t="shared" si="306"/>
        <v>5278</v>
      </c>
      <c r="N528" s="128">
        <f>SUM(N522:N527)</f>
        <v>52145</v>
      </c>
      <c r="O528" s="22">
        <f>AVERAGE(O522:O527)</f>
        <v>724.2361111111112</v>
      </c>
      <c r="P528" s="10"/>
      <c r="Q528" s="10"/>
      <c r="R528" s="10"/>
      <c r="S528" s="10"/>
      <c r="T528" s="10"/>
      <c r="U528" s="10"/>
      <c r="V528" s="10"/>
      <c r="W528" s="10"/>
      <c r="X528" s="10"/>
      <c r="Y528" s="10"/>
      <c r="Z528" s="10"/>
    </row>
    <row r="529" spans="1:26" s="9" customFormat="1" ht="15.75">
      <c r="A529" s="23"/>
      <c r="B529" s="24"/>
      <c r="C529" s="24"/>
      <c r="D529" s="24"/>
      <c r="E529" s="25"/>
      <c r="F529" s="25"/>
      <c r="G529" s="25"/>
      <c r="H529" s="25"/>
      <c r="I529" s="25"/>
      <c r="J529" s="25"/>
      <c r="K529" s="25"/>
      <c r="L529" s="25"/>
      <c r="M529" s="25"/>
      <c r="N529" s="134"/>
      <c r="O529" s="54"/>
      <c r="P529" s="10"/>
      <c r="Q529" s="10"/>
      <c r="R529" s="10"/>
      <c r="S529" s="10"/>
      <c r="T529" s="10"/>
      <c r="U529" s="10"/>
      <c r="V529" s="10"/>
      <c r="W529" s="10"/>
      <c r="X529" s="10"/>
      <c r="Y529" s="10"/>
      <c r="Z529" s="10"/>
    </row>
    <row r="530" spans="1:26" s="9" customFormat="1" ht="15.75">
      <c r="A530" s="14" t="s">
        <v>368</v>
      </c>
      <c r="B530" s="15"/>
      <c r="C530" s="15"/>
      <c r="D530" s="15"/>
      <c r="E530" s="15"/>
      <c r="F530" s="15"/>
      <c r="G530" s="15"/>
      <c r="H530" s="15"/>
      <c r="I530" s="15"/>
      <c r="J530" s="15"/>
      <c r="K530" s="15"/>
      <c r="L530" s="15"/>
      <c r="M530" s="15"/>
      <c r="N530" s="132"/>
      <c r="O530" s="16"/>
      <c r="P530" s="10"/>
      <c r="Q530" s="10"/>
      <c r="R530" s="10"/>
      <c r="S530" s="10"/>
      <c r="T530" s="10"/>
      <c r="U530" s="10"/>
      <c r="V530" s="10"/>
      <c r="W530" s="10"/>
      <c r="X530" s="10"/>
      <c r="Y530" s="10"/>
      <c r="Z530" s="10"/>
    </row>
    <row r="531" spans="1:26" s="9" customFormat="1" ht="15.75">
      <c r="A531" s="60" t="s">
        <v>369</v>
      </c>
      <c r="B531" s="15"/>
      <c r="C531" s="15"/>
      <c r="D531" s="15"/>
      <c r="E531" s="15"/>
      <c r="F531" s="15"/>
      <c r="G531" s="15"/>
      <c r="H531" s="15"/>
      <c r="I531" s="15"/>
      <c r="J531" s="15"/>
      <c r="K531" s="15"/>
      <c r="L531" s="15"/>
      <c r="M531" s="15"/>
      <c r="N531" s="132"/>
      <c r="O531" s="16"/>
      <c r="P531" s="8"/>
      <c r="Q531" s="8"/>
      <c r="R531" s="8"/>
      <c r="S531" s="8"/>
      <c r="T531" s="8"/>
      <c r="U531" s="8"/>
      <c r="V531" s="8"/>
      <c r="W531" s="8"/>
      <c r="X531" s="8"/>
      <c r="Y531" s="8"/>
      <c r="Z531" s="8"/>
    </row>
    <row r="532" spans="1:26" s="9" customFormat="1" ht="15.75">
      <c r="A532" s="34" t="s">
        <v>120</v>
      </c>
      <c r="B532" s="18">
        <f t="shared" ref="B532:C532" si="307">B552+B559</f>
        <v>3554</v>
      </c>
      <c r="C532" s="18">
        <f t="shared" si="307"/>
        <v>3983</v>
      </c>
      <c r="D532" s="18">
        <f t="shared" ref="D532:E532" si="308">D552+D559</f>
        <v>4261</v>
      </c>
      <c r="E532" s="18">
        <f t="shared" si="308"/>
        <v>3024</v>
      </c>
      <c r="F532" s="18">
        <f t="shared" ref="F532:G532" si="309">F552+F559</f>
        <v>4362</v>
      </c>
      <c r="G532" s="18">
        <f t="shared" si="309"/>
        <v>4671</v>
      </c>
      <c r="H532" s="18">
        <f t="shared" ref="H532:I532" si="310">H552+H559</f>
        <v>4954</v>
      </c>
      <c r="I532" s="18">
        <f t="shared" si="310"/>
        <v>5226</v>
      </c>
      <c r="J532" s="18">
        <f t="shared" ref="J532:K532" si="311">J552+J559</f>
        <v>5003</v>
      </c>
      <c r="K532" s="18">
        <f t="shared" si="311"/>
        <v>4957</v>
      </c>
      <c r="L532" s="18">
        <f t="shared" ref="L532:M532" si="312">L552+L559</f>
        <v>5140</v>
      </c>
      <c r="M532" s="18">
        <f t="shared" si="312"/>
        <v>4865</v>
      </c>
      <c r="N532" s="133">
        <f>SUM(B532:M532)</f>
        <v>54000</v>
      </c>
      <c r="O532" s="19">
        <f>IF(N532=0,0,AVERAGE(B532:M532))</f>
        <v>4500</v>
      </c>
      <c r="P532" s="8"/>
      <c r="Q532" s="8"/>
      <c r="R532" s="8"/>
      <c r="S532" s="8"/>
      <c r="T532" s="8"/>
      <c r="U532" s="8"/>
      <c r="V532" s="8"/>
      <c r="W532" s="8"/>
      <c r="X532" s="8"/>
      <c r="Y532" s="8"/>
      <c r="Z532" s="8"/>
    </row>
    <row r="533" spans="1:26" s="9" customFormat="1" ht="15.75">
      <c r="A533" s="37" t="s">
        <v>95</v>
      </c>
      <c r="B533" s="18">
        <f t="shared" ref="B533:C533" si="313">B564</f>
        <v>157</v>
      </c>
      <c r="C533" s="18">
        <f t="shared" si="313"/>
        <v>160</v>
      </c>
      <c r="D533" s="18">
        <f t="shared" ref="D533:E533" si="314">D564</f>
        <v>170</v>
      </c>
      <c r="E533" s="18">
        <f t="shared" si="314"/>
        <v>54</v>
      </c>
      <c r="F533" s="18">
        <f t="shared" ref="F533:G533" si="315">F564</f>
        <v>129</v>
      </c>
      <c r="G533" s="18">
        <f t="shared" si="315"/>
        <v>173</v>
      </c>
      <c r="H533" s="18">
        <f t="shared" ref="H533:I533" si="316">H564</f>
        <v>177</v>
      </c>
      <c r="I533" s="18">
        <f t="shared" si="316"/>
        <v>175</v>
      </c>
      <c r="J533" s="18">
        <f t="shared" ref="J533:K533" si="317">J564</f>
        <v>134</v>
      </c>
      <c r="K533" s="18">
        <f t="shared" si="317"/>
        <v>143</v>
      </c>
      <c r="L533" s="18">
        <f t="shared" ref="L533:M533" si="318">L564</f>
        <v>143</v>
      </c>
      <c r="M533" s="18">
        <f t="shared" si="318"/>
        <v>171</v>
      </c>
      <c r="N533" s="133">
        <f>SUM(B533:M533)</f>
        <v>1786</v>
      </c>
      <c r="O533" s="19">
        <f>IF(N533=0,0,AVERAGE(B533:M533))</f>
        <v>148.83333333333334</v>
      </c>
      <c r="P533" s="10"/>
      <c r="Q533" s="10"/>
      <c r="R533" s="10"/>
      <c r="S533" s="10"/>
      <c r="T533" s="10"/>
      <c r="U533" s="10"/>
      <c r="V533" s="10"/>
      <c r="W533" s="10"/>
      <c r="X533" s="10"/>
      <c r="Y533" s="10"/>
      <c r="Z533" s="10"/>
    </row>
    <row r="534" spans="1:26" s="9" customFormat="1" ht="15.75">
      <c r="A534" s="56" t="s">
        <v>21</v>
      </c>
      <c r="B534" s="21">
        <f t="shared" ref="B534:C534" si="319">IFERROR(SUM(B532:B533),"")</f>
        <v>3711</v>
      </c>
      <c r="C534" s="21">
        <f t="shared" si="319"/>
        <v>4143</v>
      </c>
      <c r="D534" s="21">
        <f t="shared" ref="D534:E534" si="320">IFERROR(SUM(D532:D533),"")</f>
        <v>4431</v>
      </c>
      <c r="E534" s="21">
        <f t="shared" si="320"/>
        <v>3078</v>
      </c>
      <c r="F534" s="21">
        <f t="shared" ref="F534:G534" si="321">IFERROR(SUM(F532:F533),"")</f>
        <v>4491</v>
      </c>
      <c r="G534" s="21">
        <f t="shared" si="321"/>
        <v>4844</v>
      </c>
      <c r="H534" s="21">
        <f t="shared" ref="H534:I534" si="322">IFERROR(SUM(H532:H533),"")</f>
        <v>5131</v>
      </c>
      <c r="I534" s="21">
        <f t="shared" si="322"/>
        <v>5401</v>
      </c>
      <c r="J534" s="21">
        <f t="shared" ref="J534" si="323">IFERROR(SUM(J532:J533),"")</f>
        <v>5137</v>
      </c>
      <c r="K534" s="21">
        <f t="shared" ref="K534:L534" si="324">IFERROR(SUM(K532:K533),"")</f>
        <v>5100</v>
      </c>
      <c r="L534" s="21">
        <f t="shared" si="324"/>
        <v>5283</v>
      </c>
      <c r="M534" s="21">
        <f t="shared" ref="M534" si="325">IFERROR(SUM(M532:M533),"")</f>
        <v>5036</v>
      </c>
      <c r="N534" s="128">
        <f>SUM(N532:N533)</f>
        <v>55786</v>
      </c>
      <c r="O534" s="22">
        <f>SUM(O532:O533)</f>
        <v>4648.833333333333</v>
      </c>
      <c r="P534" s="8"/>
      <c r="Q534" s="8"/>
      <c r="R534" s="8"/>
      <c r="S534" s="8"/>
      <c r="T534" s="8"/>
      <c r="U534" s="8"/>
      <c r="V534" s="8"/>
      <c r="W534" s="8"/>
      <c r="X534" s="8"/>
      <c r="Y534" s="8"/>
      <c r="Z534" s="8"/>
    </row>
    <row r="535" spans="1:26" s="9" customFormat="1" ht="15.75">
      <c r="A535" s="74" t="s">
        <v>121</v>
      </c>
      <c r="B535" s="22">
        <f t="shared" ref="B535:G535" si="326">IF(B534=0,"",B534/B$1676)</f>
        <v>119.70967741935483</v>
      </c>
      <c r="C535" s="22">
        <f t="shared" si="326"/>
        <v>147.96428571428572</v>
      </c>
      <c r="D535" s="22">
        <f t="shared" si="326"/>
        <v>142.93548387096774</v>
      </c>
      <c r="E535" s="22">
        <f t="shared" si="326"/>
        <v>102.6</v>
      </c>
      <c r="F535" s="22">
        <f t="shared" si="326"/>
        <v>144.87096774193549</v>
      </c>
      <c r="G535" s="22">
        <f t="shared" si="326"/>
        <v>161.46666666666667</v>
      </c>
      <c r="H535" s="22">
        <f t="shared" ref="H535:I535" si="327">IF(H534=0,"",H534/H$1676)</f>
        <v>165.51612903225808</v>
      </c>
      <c r="I535" s="22">
        <f t="shared" si="327"/>
        <v>174.2258064516129</v>
      </c>
      <c r="J535" s="22">
        <f t="shared" ref="J535" si="328">IF(J534=0,"",J534/J$1676)</f>
        <v>171.23333333333332</v>
      </c>
      <c r="K535" s="22">
        <f t="shared" ref="K535:L535" si="329">IF(K534=0,"",K534/K$1676)</f>
        <v>164.51612903225808</v>
      </c>
      <c r="L535" s="22">
        <f t="shared" si="329"/>
        <v>176.1</v>
      </c>
      <c r="M535" s="22">
        <f t="shared" ref="M535" si="330">IF(M534=0,"",M534/M$1676)</f>
        <v>162.45161290322579</v>
      </c>
      <c r="N535" s="128">
        <f>SUM(B535:M535)</f>
        <v>1833.5900921658986</v>
      </c>
      <c r="O535" s="22">
        <f>IF(N535=0,0,AVERAGE(B535:M535))</f>
        <v>152.79917434715821</v>
      </c>
      <c r="P535" s="8"/>
      <c r="Q535" s="8"/>
      <c r="R535" s="8"/>
      <c r="S535" s="8"/>
      <c r="T535" s="8"/>
      <c r="U535" s="8"/>
      <c r="V535" s="8"/>
      <c r="W535" s="8"/>
      <c r="X535" s="8"/>
      <c r="Y535" s="8"/>
      <c r="Z535" s="8"/>
    </row>
    <row r="536" spans="1:26" s="9" customFormat="1">
      <c r="A536" s="23"/>
      <c r="B536" s="24"/>
      <c r="C536" s="24"/>
      <c r="D536" s="24"/>
      <c r="E536" s="25"/>
      <c r="F536" s="25"/>
      <c r="G536" s="25"/>
      <c r="H536" s="25"/>
      <c r="I536" s="25"/>
      <c r="J536" s="25"/>
      <c r="K536" s="25"/>
      <c r="L536" s="25"/>
      <c r="M536" s="25"/>
      <c r="N536" s="134"/>
      <c r="O536" s="13"/>
      <c r="P536" s="8"/>
      <c r="Q536" s="8"/>
      <c r="R536" s="8"/>
      <c r="S536" s="8"/>
      <c r="T536" s="8"/>
      <c r="U536" s="8"/>
      <c r="V536" s="8"/>
      <c r="W536" s="8"/>
      <c r="X536" s="8"/>
      <c r="Y536" s="8"/>
      <c r="Z536" s="8"/>
    </row>
    <row r="537" spans="1:26" s="9" customFormat="1" ht="15.75">
      <c r="A537" s="60" t="s">
        <v>370</v>
      </c>
      <c r="B537" s="178"/>
      <c r="C537" s="178"/>
      <c r="D537" s="178"/>
      <c r="E537" s="178"/>
      <c r="F537" s="178"/>
      <c r="G537" s="178"/>
      <c r="H537" s="178"/>
      <c r="I537" s="178"/>
      <c r="J537" s="178"/>
      <c r="K537" s="178"/>
      <c r="L537" s="178"/>
      <c r="M537" s="178"/>
      <c r="N537" s="146"/>
      <c r="O537" s="76"/>
      <c r="P537" s="8"/>
      <c r="Q537" s="8"/>
      <c r="R537" s="8"/>
      <c r="S537" s="8"/>
      <c r="T537" s="8"/>
      <c r="U537" s="8"/>
      <c r="V537" s="8"/>
      <c r="W537" s="8"/>
      <c r="X537" s="8"/>
      <c r="Y537" s="8"/>
      <c r="Z537" s="8"/>
    </row>
    <row r="538" spans="1:26" s="9" customFormat="1" ht="15.75">
      <c r="A538" s="205" t="s">
        <v>123</v>
      </c>
      <c r="B538" s="35">
        <v>158</v>
      </c>
      <c r="C538" s="35">
        <v>129</v>
      </c>
      <c r="D538" s="35">
        <v>166</v>
      </c>
      <c r="E538" s="35">
        <v>99</v>
      </c>
      <c r="F538" s="35">
        <v>102</v>
      </c>
      <c r="G538" s="35">
        <v>124</v>
      </c>
      <c r="H538" s="35">
        <v>190</v>
      </c>
      <c r="I538" s="35">
        <v>251</v>
      </c>
      <c r="J538" s="35">
        <v>240</v>
      </c>
      <c r="K538" s="35">
        <v>221</v>
      </c>
      <c r="L538" s="35">
        <v>228</v>
      </c>
      <c r="M538" s="35">
        <v>260</v>
      </c>
      <c r="N538" s="177">
        <f t="shared" ref="N538:N547" si="331">SUM(B538:M538)</f>
        <v>2168</v>
      </c>
      <c r="O538" s="19">
        <f t="shared" ref="O538:O547" si="332">IF(N538=0,0,AVERAGE(B538:M538))</f>
        <v>180.66666666666666</v>
      </c>
      <c r="P538" s="8"/>
      <c r="Q538" s="8"/>
      <c r="R538" s="8"/>
      <c r="S538" s="8"/>
      <c r="T538" s="8"/>
      <c r="U538" s="8"/>
      <c r="V538" s="8"/>
      <c r="W538" s="8"/>
      <c r="X538" s="8"/>
      <c r="Y538" s="8"/>
      <c r="Z538" s="8"/>
    </row>
    <row r="539" spans="1:26" s="9" customFormat="1" ht="15.75">
      <c r="A539" s="205" t="s">
        <v>29</v>
      </c>
      <c r="B539" s="35">
        <v>214</v>
      </c>
      <c r="C539" s="35">
        <v>208</v>
      </c>
      <c r="D539" s="35">
        <v>274</v>
      </c>
      <c r="E539" s="35">
        <v>172</v>
      </c>
      <c r="F539" s="35">
        <v>254</v>
      </c>
      <c r="G539" s="35">
        <v>263</v>
      </c>
      <c r="H539" s="35">
        <v>237</v>
      </c>
      <c r="I539" s="35">
        <v>297</v>
      </c>
      <c r="J539" s="35">
        <v>260</v>
      </c>
      <c r="K539" s="35">
        <v>213</v>
      </c>
      <c r="L539" s="35">
        <v>286</v>
      </c>
      <c r="M539" s="35">
        <v>257</v>
      </c>
      <c r="N539" s="177">
        <f>SUM(B539:M539)</f>
        <v>2935</v>
      </c>
      <c r="O539" s="19">
        <f>IF(N539=0,0,AVERAGE(B539:M539))</f>
        <v>244.58333333333334</v>
      </c>
    </row>
    <row r="540" spans="1:26" s="9" customFormat="1" ht="15.75">
      <c r="A540" s="205" t="s">
        <v>26</v>
      </c>
      <c r="B540" s="35">
        <v>311</v>
      </c>
      <c r="C540" s="35">
        <v>270</v>
      </c>
      <c r="D540" s="35">
        <v>155</v>
      </c>
      <c r="E540" s="35">
        <v>38</v>
      </c>
      <c r="F540" s="35">
        <v>221</v>
      </c>
      <c r="G540" s="35">
        <v>251</v>
      </c>
      <c r="H540" s="35">
        <v>326</v>
      </c>
      <c r="I540" s="35">
        <v>318</v>
      </c>
      <c r="J540" s="35">
        <v>267</v>
      </c>
      <c r="K540" s="35">
        <v>298</v>
      </c>
      <c r="L540" s="35">
        <v>310</v>
      </c>
      <c r="M540" s="35">
        <v>375</v>
      </c>
      <c r="N540" s="177">
        <f t="shared" si="331"/>
        <v>3140</v>
      </c>
      <c r="O540" s="19">
        <f t="shared" si="332"/>
        <v>261.66666666666669</v>
      </c>
      <c r="P540" s="8"/>
      <c r="Q540" s="8"/>
      <c r="R540" s="8"/>
      <c r="S540" s="8"/>
      <c r="T540" s="8"/>
      <c r="U540" s="8"/>
      <c r="V540" s="8"/>
      <c r="W540" s="8"/>
      <c r="X540" s="8"/>
      <c r="Y540" s="8"/>
      <c r="Z540" s="8"/>
    </row>
    <row r="541" spans="1:26" s="9" customFormat="1" ht="15.75">
      <c r="A541" s="205" t="s">
        <v>305</v>
      </c>
      <c r="B541" s="35">
        <v>208</v>
      </c>
      <c r="C541" s="35">
        <v>195</v>
      </c>
      <c r="D541" s="35">
        <v>189</v>
      </c>
      <c r="E541" s="35">
        <v>91</v>
      </c>
      <c r="F541" s="35">
        <v>205</v>
      </c>
      <c r="G541" s="35">
        <v>193</v>
      </c>
      <c r="H541" s="35">
        <v>249</v>
      </c>
      <c r="I541" s="35">
        <v>240</v>
      </c>
      <c r="J541" s="35">
        <v>236</v>
      </c>
      <c r="K541" s="35">
        <v>292</v>
      </c>
      <c r="L541" s="35">
        <v>280</v>
      </c>
      <c r="M541" s="35">
        <v>162</v>
      </c>
      <c r="N541" s="177">
        <f t="shared" si="331"/>
        <v>2540</v>
      </c>
      <c r="O541" s="19">
        <f t="shared" si="332"/>
        <v>211.66666666666666</v>
      </c>
      <c r="P541" s="8"/>
      <c r="Q541" s="8"/>
      <c r="R541" s="8"/>
      <c r="S541" s="8"/>
      <c r="T541" s="8"/>
      <c r="U541" s="8"/>
      <c r="V541" s="8"/>
      <c r="W541" s="8"/>
      <c r="X541" s="8"/>
      <c r="Y541" s="8"/>
      <c r="Z541" s="8"/>
    </row>
    <row r="542" spans="1:26" s="9" customFormat="1" ht="15.75">
      <c r="A542" s="206" t="s">
        <v>25</v>
      </c>
      <c r="B542" s="35">
        <v>506</v>
      </c>
      <c r="C542" s="35">
        <v>529</v>
      </c>
      <c r="D542" s="35">
        <v>433</v>
      </c>
      <c r="E542" s="35">
        <v>192</v>
      </c>
      <c r="F542" s="35">
        <v>409</v>
      </c>
      <c r="G542" s="35">
        <v>480</v>
      </c>
      <c r="H542" s="35">
        <v>594</v>
      </c>
      <c r="I542" s="35">
        <v>642</v>
      </c>
      <c r="J542" s="35">
        <v>563</v>
      </c>
      <c r="K542" s="35">
        <v>581</v>
      </c>
      <c r="L542" s="35">
        <f>666+14</f>
        <v>680</v>
      </c>
      <c r="M542" s="35">
        <v>699</v>
      </c>
      <c r="N542" s="177">
        <f t="shared" si="331"/>
        <v>6308</v>
      </c>
      <c r="O542" s="19">
        <f t="shared" si="332"/>
        <v>525.66666666666663</v>
      </c>
      <c r="P542" s="10"/>
      <c r="Q542" s="10"/>
      <c r="R542" s="10"/>
      <c r="S542" s="10"/>
      <c r="T542" s="10"/>
      <c r="U542" s="10"/>
      <c r="V542" s="10"/>
      <c r="W542" s="10"/>
      <c r="X542" s="10"/>
      <c r="Y542" s="10"/>
      <c r="Z542" s="10"/>
    </row>
    <row r="543" spans="1:26" s="9" customFormat="1" ht="15.75">
      <c r="A543" s="207" t="s">
        <v>27</v>
      </c>
      <c r="B543" s="35">
        <v>98</v>
      </c>
      <c r="C543" s="35">
        <v>72</v>
      </c>
      <c r="D543" s="35">
        <v>125</v>
      </c>
      <c r="E543" s="35">
        <v>59</v>
      </c>
      <c r="F543" s="35">
        <v>96</v>
      </c>
      <c r="G543" s="35">
        <v>122</v>
      </c>
      <c r="H543" s="35">
        <v>98</v>
      </c>
      <c r="I543" s="35">
        <v>132</v>
      </c>
      <c r="J543" s="35">
        <v>68</v>
      </c>
      <c r="K543" s="35">
        <v>107</v>
      </c>
      <c r="L543" s="35">
        <v>102</v>
      </c>
      <c r="M543" s="35">
        <v>109</v>
      </c>
      <c r="N543" s="177">
        <f t="shared" si="331"/>
        <v>1188</v>
      </c>
      <c r="O543" s="19">
        <f t="shared" si="332"/>
        <v>99</v>
      </c>
      <c r="P543" s="10"/>
      <c r="Q543" s="10"/>
      <c r="R543" s="10"/>
      <c r="S543" s="10"/>
      <c r="T543" s="10"/>
      <c r="U543" s="10"/>
      <c r="V543" s="10"/>
      <c r="W543" s="10"/>
      <c r="X543" s="10"/>
      <c r="Y543" s="10"/>
      <c r="Z543" s="10"/>
    </row>
    <row r="544" spans="1:26" s="9" customFormat="1" ht="15.75">
      <c r="A544" s="208" t="s">
        <v>28</v>
      </c>
      <c r="B544" s="35">
        <v>190</v>
      </c>
      <c r="C544" s="35">
        <v>179</v>
      </c>
      <c r="D544" s="35">
        <v>157</v>
      </c>
      <c r="E544" s="35">
        <v>118</v>
      </c>
      <c r="F544" s="35">
        <v>181</v>
      </c>
      <c r="G544" s="35">
        <v>210</v>
      </c>
      <c r="H544" s="35">
        <v>282</v>
      </c>
      <c r="I544" s="35">
        <v>248</v>
      </c>
      <c r="J544" s="35">
        <v>273</v>
      </c>
      <c r="K544" s="35">
        <v>241</v>
      </c>
      <c r="L544" s="35">
        <v>201</v>
      </c>
      <c r="M544" s="35">
        <v>237</v>
      </c>
      <c r="N544" s="177">
        <f t="shared" si="331"/>
        <v>2517</v>
      </c>
      <c r="O544" s="19">
        <f t="shared" si="332"/>
        <v>209.75</v>
      </c>
      <c r="P544" s="10"/>
      <c r="Q544" s="10"/>
      <c r="R544" s="10"/>
      <c r="S544" s="10"/>
      <c r="T544" s="10"/>
      <c r="U544" s="10"/>
      <c r="V544" s="10"/>
      <c r="W544" s="10"/>
      <c r="X544" s="10"/>
      <c r="Y544" s="10"/>
      <c r="Z544" s="10"/>
    </row>
    <row r="545" spans="1:26" s="9" customFormat="1" ht="15.75">
      <c r="A545" s="209" t="s">
        <v>31</v>
      </c>
      <c r="B545" s="35">
        <v>813</v>
      </c>
      <c r="C545" s="35">
        <v>968</v>
      </c>
      <c r="D545" s="35">
        <v>1134</v>
      </c>
      <c r="E545" s="35">
        <v>905</v>
      </c>
      <c r="F545" s="35">
        <v>1281</v>
      </c>
      <c r="G545" s="35">
        <v>1275</v>
      </c>
      <c r="H545" s="35">
        <v>1252</v>
      </c>
      <c r="I545" s="35">
        <v>1379</v>
      </c>
      <c r="J545" s="35">
        <v>1288</v>
      </c>
      <c r="K545" s="35">
        <f>1215+6</f>
        <v>1221</v>
      </c>
      <c r="L545" s="35">
        <v>1279</v>
      </c>
      <c r="M545" s="35">
        <v>1080</v>
      </c>
      <c r="N545" s="177">
        <f t="shared" si="331"/>
        <v>13875</v>
      </c>
      <c r="O545" s="19">
        <f t="shared" si="332"/>
        <v>1156.25</v>
      </c>
      <c r="P545" s="8"/>
      <c r="Q545" s="8"/>
      <c r="R545" s="8"/>
      <c r="S545" s="8"/>
      <c r="T545" s="8"/>
      <c r="U545" s="8"/>
      <c r="V545" s="8"/>
      <c r="W545" s="8"/>
      <c r="X545" s="8"/>
      <c r="Y545" s="8"/>
      <c r="Z545" s="8"/>
    </row>
    <row r="546" spans="1:26" s="9" customFormat="1" ht="15.75">
      <c r="A546" s="205" t="s">
        <v>125</v>
      </c>
      <c r="B546" s="35">
        <v>82</v>
      </c>
      <c r="C546" s="35">
        <v>74</v>
      </c>
      <c r="D546" s="35">
        <v>63</v>
      </c>
      <c r="E546" s="35">
        <v>60</v>
      </c>
      <c r="F546" s="35">
        <v>85</v>
      </c>
      <c r="G546" s="35">
        <v>94</v>
      </c>
      <c r="H546" s="35">
        <v>100</v>
      </c>
      <c r="I546" s="35">
        <v>96</v>
      </c>
      <c r="J546" s="35">
        <v>94</v>
      </c>
      <c r="K546" s="35">
        <v>105</v>
      </c>
      <c r="L546" s="35">
        <v>105</v>
      </c>
      <c r="M546" s="35">
        <v>65</v>
      </c>
      <c r="N546" s="177">
        <f t="shared" si="331"/>
        <v>1023</v>
      </c>
      <c r="O546" s="19">
        <f t="shared" si="332"/>
        <v>85.25</v>
      </c>
      <c r="P546" s="8"/>
      <c r="Q546" s="8"/>
      <c r="R546" s="8"/>
      <c r="S546" s="8"/>
      <c r="T546" s="8"/>
      <c r="U546" s="8"/>
      <c r="V546" s="8"/>
      <c r="W546" s="8"/>
      <c r="X546" s="8"/>
      <c r="Y546" s="8"/>
      <c r="Z546" s="8"/>
    </row>
    <row r="547" spans="1:26" s="9" customFormat="1" ht="15.75">
      <c r="A547" s="205" t="s">
        <v>720</v>
      </c>
      <c r="B547" s="35">
        <v>16</v>
      </c>
      <c r="C547" s="35">
        <v>24</v>
      </c>
      <c r="D547" s="35">
        <v>52</v>
      </c>
      <c r="E547" s="35">
        <v>17</v>
      </c>
      <c r="F547" s="35">
        <v>55</v>
      </c>
      <c r="G547" s="35">
        <v>49</v>
      </c>
      <c r="H547" s="35">
        <v>48</v>
      </c>
      <c r="I547" s="35">
        <v>42</v>
      </c>
      <c r="J547" s="35">
        <v>82</v>
      </c>
      <c r="K547" s="35">
        <v>86</v>
      </c>
      <c r="L547" s="35">
        <v>79</v>
      </c>
      <c r="M547" s="35">
        <v>139</v>
      </c>
      <c r="N547" s="177">
        <f t="shared" si="331"/>
        <v>689</v>
      </c>
      <c r="O547" s="19">
        <f t="shared" si="332"/>
        <v>57.416666666666664</v>
      </c>
      <c r="P547" s="8"/>
      <c r="Q547" s="8"/>
      <c r="R547" s="8"/>
      <c r="S547" s="8"/>
      <c r="T547" s="8"/>
      <c r="U547" s="8"/>
      <c r="V547" s="8"/>
      <c r="W547" s="8"/>
      <c r="X547" s="8"/>
      <c r="Y547" s="8"/>
      <c r="Z547" s="8"/>
    </row>
    <row r="548" spans="1:26" s="9" customFormat="1" ht="15.75">
      <c r="A548" s="210" t="s">
        <v>325</v>
      </c>
      <c r="B548" s="35">
        <v>50</v>
      </c>
      <c r="C548" s="35">
        <v>32</v>
      </c>
      <c r="D548" s="35">
        <v>48</v>
      </c>
      <c r="E548" s="35">
        <v>53</v>
      </c>
      <c r="F548" s="35">
        <v>55</v>
      </c>
      <c r="G548" s="35">
        <v>50</v>
      </c>
      <c r="H548" s="35">
        <v>49</v>
      </c>
      <c r="I548" s="35">
        <v>46</v>
      </c>
      <c r="J548" s="418">
        <v>50</v>
      </c>
      <c r="K548" s="35">
        <v>50</v>
      </c>
      <c r="L548" s="35">
        <v>50</v>
      </c>
      <c r="M548" s="35">
        <v>23</v>
      </c>
      <c r="N548" s="177">
        <f>SUM(B548:M548)</f>
        <v>556</v>
      </c>
      <c r="O548" s="19">
        <f>IF(N548=0,0,AVERAGE(B548:M548))</f>
        <v>46.333333333333336</v>
      </c>
      <c r="P548" s="8"/>
      <c r="Q548" s="8"/>
      <c r="R548" s="8"/>
      <c r="S548" s="8"/>
      <c r="T548" s="8"/>
      <c r="U548" s="8"/>
      <c r="V548" s="8"/>
      <c r="W548" s="8"/>
      <c r="X548" s="8"/>
      <c r="Y548" s="8"/>
      <c r="Z548" s="8"/>
    </row>
    <row r="549" spans="1:26" s="9" customFormat="1" ht="15.75">
      <c r="A549" s="205" t="s">
        <v>34</v>
      </c>
      <c r="B549" s="35">
        <v>134</v>
      </c>
      <c r="C549" s="35">
        <v>106</v>
      </c>
      <c r="D549" s="35">
        <v>132</v>
      </c>
      <c r="E549" s="35">
        <v>114</v>
      </c>
      <c r="F549" s="35">
        <v>131</v>
      </c>
      <c r="G549" s="35">
        <v>179</v>
      </c>
      <c r="H549" s="35">
        <v>175</v>
      </c>
      <c r="I549" s="35">
        <v>196</v>
      </c>
      <c r="J549" s="35">
        <v>192</v>
      </c>
      <c r="K549" s="35">
        <v>141</v>
      </c>
      <c r="L549" s="35">
        <v>203</v>
      </c>
      <c r="M549" s="35">
        <v>200</v>
      </c>
      <c r="N549" s="177">
        <f t="shared" ref="N549:N551" si="333">SUM(B549:M549)</f>
        <v>1903</v>
      </c>
      <c r="O549" s="19">
        <f t="shared" ref="O549:O551" si="334">IF(N549=0,0,AVERAGE(B549:M549))</f>
        <v>158.58333333333334</v>
      </c>
      <c r="P549" s="8"/>
      <c r="Q549" s="8"/>
      <c r="R549" s="8"/>
      <c r="S549" s="8"/>
      <c r="T549" s="8"/>
      <c r="U549" s="8"/>
      <c r="V549" s="8"/>
      <c r="W549" s="8"/>
      <c r="X549" s="8"/>
      <c r="Y549" s="8"/>
      <c r="Z549" s="8"/>
    </row>
    <row r="550" spans="1:26" s="9" customFormat="1" ht="15.75">
      <c r="A550" s="210" t="s">
        <v>361</v>
      </c>
      <c r="B550" s="35">
        <v>30</v>
      </c>
      <c r="C550" s="35">
        <v>23</v>
      </c>
      <c r="D550" s="35">
        <v>23</v>
      </c>
      <c r="E550" s="35">
        <v>23</v>
      </c>
      <c r="F550" s="35">
        <v>28</v>
      </c>
      <c r="G550" s="35">
        <v>17</v>
      </c>
      <c r="H550" s="35">
        <v>22</v>
      </c>
      <c r="I550" s="35">
        <v>28</v>
      </c>
      <c r="J550" s="35">
        <v>23</v>
      </c>
      <c r="K550" s="35">
        <v>25</v>
      </c>
      <c r="L550" s="35">
        <v>22</v>
      </c>
      <c r="M550" s="35">
        <v>22</v>
      </c>
      <c r="N550" s="177">
        <f t="shared" si="333"/>
        <v>286</v>
      </c>
      <c r="O550" s="19">
        <f t="shared" si="334"/>
        <v>23.833333333333332</v>
      </c>
      <c r="P550" s="8"/>
      <c r="Q550" s="8"/>
      <c r="R550" s="8"/>
      <c r="S550" s="8"/>
      <c r="T550" s="8"/>
      <c r="U550" s="8"/>
      <c r="V550" s="8"/>
      <c r="W550" s="8"/>
      <c r="X550" s="8"/>
      <c r="Y550" s="8"/>
      <c r="Z550" s="8"/>
    </row>
    <row r="551" spans="1:26" s="9" customFormat="1" ht="15.75">
      <c r="A551" s="205" t="s">
        <v>35</v>
      </c>
      <c r="B551" s="35">
        <v>279</v>
      </c>
      <c r="C551" s="35">
        <v>403</v>
      </c>
      <c r="D551" s="35">
        <v>380</v>
      </c>
      <c r="E551" s="35">
        <v>260</v>
      </c>
      <c r="F551" s="35">
        <v>391</v>
      </c>
      <c r="G551" s="35">
        <v>425</v>
      </c>
      <c r="H551" s="35">
        <v>447</v>
      </c>
      <c r="I551" s="35">
        <v>479</v>
      </c>
      <c r="J551" s="35">
        <v>497</v>
      </c>
      <c r="K551" s="35">
        <v>466</v>
      </c>
      <c r="L551" s="35">
        <v>453</v>
      </c>
      <c r="M551" s="35">
        <v>438</v>
      </c>
      <c r="N551" s="177">
        <f t="shared" si="333"/>
        <v>4918</v>
      </c>
      <c r="O551" s="19">
        <f t="shared" si="334"/>
        <v>409.83333333333331</v>
      </c>
      <c r="P551" s="10"/>
      <c r="Q551" s="10"/>
      <c r="R551" s="10"/>
      <c r="S551" s="10"/>
      <c r="T551" s="10"/>
      <c r="U551" s="10"/>
      <c r="V551" s="10"/>
      <c r="W551" s="10"/>
      <c r="X551" s="10"/>
      <c r="Y551" s="10"/>
      <c r="Z551" s="10"/>
    </row>
    <row r="552" spans="1:26" s="9" customFormat="1" ht="15.75">
      <c r="A552" s="20" t="s">
        <v>21</v>
      </c>
      <c r="B552" s="113">
        <f t="shared" ref="B552:G552" si="335">SUM(B538:B551)</f>
        <v>3089</v>
      </c>
      <c r="C552" s="113">
        <f t="shared" si="335"/>
        <v>3212</v>
      </c>
      <c r="D552" s="113">
        <f t="shared" si="335"/>
        <v>3331</v>
      </c>
      <c r="E552" s="113">
        <f t="shared" si="335"/>
        <v>2201</v>
      </c>
      <c r="F552" s="113">
        <f t="shared" si="335"/>
        <v>3494</v>
      </c>
      <c r="G552" s="113">
        <f t="shared" si="335"/>
        <v>3732</v>
      </c>
      <c r="H552" s="113">
        <f t="shared" ref="H552:I552" si="336">SUM(H538:H551)</f>
        <v>4069</v>
      </c>
      <c r="I552" s="113">
        <f t="shared" si="336"/>
        <v>4394</v>
      </c>
      <c r="J552" s="113">
        <f t="shared" ref="J552:K552" si="337">SUM(J538:J551)</f>
        <v>4133</v>
      </c>
      <c r="K552" s="113">
        <f t="shared" si="337"/>
        <v>4047</v>
      </c>
      <c r="L552" s="113">
        <f t="shared" ref="L552:M552" si="338">SUM(L538:L551)</f>
        <v>4278</v>
      </c>
      <c r="M552" s="113">
        <f t="shared" si="338"/>
        <v>4066</v>
      </c>
      <c r="N552" s="128">
        <f>SUM(N538:N551)</f>
        <v>44046</v>
      </c>
      <c r="O552" s="22">
        <f>SUM(O538:O551)</f>
        <v>3670.5000000000005</v>
      </c>
      <c r="P552" s="8"/>
      <c r="Q552" s="8"/>
      <c r="R552" s="8"/>
      <c r="S552" s="8"/>
      <c r="T552" s="8"/>
      <c r="U552" s="8"/>
      <c r="V552" s="8"/>
      <c r="W552" s="8"/>
      <c r="X552" s="8"/>
      <c r="Y552" s="8"/>
      <c r="Z552" s="8"/>
    </row>
    <row r="553" spans="1:26" s="9" customFormat="1" ht="15.75">
      <c r="A553" s="20" t="s">
        <v>112</v>
      </c>
      <c r="B553" s="22">
        <f t="shared" ref="B553:G553" si="339">IF(B552=0,"",B552/B$1676)</f>
        <v>99.645161290322577</v>
      </c>
      <c r="C553" s="22">
        <f t="shared" si="339"/>
        <v>114.71428571428571</v>
      </c>
      <c r="D553" s="22">
        <f t="shared" si="339"/>
        <v>107.45161290322581</v>
      </c>
      <c r="E553" s="22">
        <f t="shared" si="339"/>
        <v>73.36666666666666</v>
      </c>
      <c r="F553" s="22">
        <f t="shared" si="339"/>
        <v>112.70967741935483</v>
      </c>
      <c r="G553" s="22">
        <f t="shared" si="339"/>
        <v>124.4</v>
      </c>
      <c r="H553" s="22">
        <f t="shared" ref="H553:I553" si="340">IF(H552=0,"",H552/H$1676)</f>
        <v>131.25806451612902</v>
      </c>
      <c r="I553" s="22">
        <f t="shared" si="340"/>
        <v>141.74193548387098</v>
      </c>
      <c r="J553" s="22">
        <f t="shared" ref="J553:K553" si="341">IF(J552=0,"",J552/J$1676)</f>
        <v>137.76666666666668</v>
      </c>
      <c r="K553" s="22">
        <f t="shared" si="341"/>
        <v>130.54838709677421</v>
      </c>
      <c r="L553" s="22">
        <f t="shared" ref="L553:M553" si="342">IF(L552=0,"",L552/L$1676)</f>
        <v>142.6</v>
      </c>
      <c r="M553" s="22">
        <f t="shared" si="342"/>
        <v>131.16129032258064</v>
      </c>
      <c r="N553" s="128">
        <f>SUM(B553:M553)</f>
        <v>1447.363748079877</v>
      </c>
      <c r="O553" s="22">
        <f>IF(N553=0,0,AVERAGE(B553:M553))</f>
        <v>120.61364567332309</v>
      </c>
      <c r="P553" s="10"/>
      <c r="Q553" s="10"/>
      <c r="R553" s="10"/>
      <c r="S553" s="10"/>
      <c r="T553" s="10"/>
      <c r="U553" s="10"/>
      <c r="V553" s="10"/>
      <c r="W553" s="10"/>
      <c r="X553" s="10"/>
      <c r="Y553" s="10"/>
      <c r="Z553" s="10"/>
    </row>
    <row r="554" spans="1:26" s="9" customFormat="1" ht="15.75">
      <c r="A554" s="23"/>
      <c r="B554" s="24"/>
      <c r="C554" s="24"/>
      <c r="D554" s="24"/>
      <c r="E554" s="25"/>
      <c r="F554" s="25"/>
      <c r="G554" s="25"/>
      <c r="H554" s="25"/>
      <c r="I554" s="25"/>
      <c r="J554" s="25"/>
      <c r="K554" s="25"/>
      <c r="L554" s="25"/>
      <c r="M554" s="25"/>
      <c r="N554" s="134"/>
      <c r="O554" s="26"/>
      <c r="P554" s="10"/>
      <c r="Q554" s="10"/>
      <c r="R554" s="10"/>
      <c r="S554" s="10"/>
      <c r="T554" s="10"/>
      <c r="U554" s="10"/>
      <c r="V554" s="10"/>
      <c r="W554" s="10"/>
      <c r="X554" s="10"/>
      <c r="Y554" s="10"/>
      <c r="Z554" s="10"/>
    </row>
    <row r="555" spans="1:26" s="9" customFormat="1" ht="15.75">
      <c r="A555" s="60" t="s">
        <v>400</v>
      </c>
      <c r="B555" s="15"/>
      <c r="C555" s="15"/>
      <c r="D555" s="15"/>
      <c r="E555" s="15"/>
      <c r="F555" s="15"/>
      <c r="G555" s="15"/>
      <c r="H555" s="15"/>
      <c r="I555" s="15"/>
      <c r="J555" s="15"/>
      <c r="K555" s="15"/>
      <c r="L555" s="15"/>
      <c r="M555" s="15"/>
      <c r="N555" s="132"/>
      <c r="O555" s="16"/>
      <c r="P555" s="77"/>
      <c r="Q555" s="77"/>
      <c r="R555" s="77"/>
      <c r="S555" s="77"/>
      <c r="T555" s="77"/>
      <c r="U555" s="77"/>
      <c r="V555" s="77"/>
      <c r="W555" s="77"/>
      <c r="X555" s="77"/>
      <c r="Y555" s="77"/>
      <c r="Z555" s="77"/>
    </row>
    <row r="556" spans="1:26" s="9" customFormat="1" ht="15.75">
      <c r="A556" s="211" t="s">
        <v>122</v>
      </c>
      <c r="B556" s="81">
        <v>86</v>
      </c>
      <c r="C556" s="81">
        <v>164</v>
      </c>
      <c r="D556" s="18">
        <v>194</v>
      </c>
      <c r="E556" s="18">
        <v>164</v>
      </c>
      <c r="F556" s="18">
        <v>162</v>
      </c>
      <c r="G556" s="18">
        <v>177</v>
      </c>
      <c r="H556" s="18">
        <v>111</v>
      </c>
      <c r="I556" s="18">
        <v>73</v>
      </c>
      <c r="J556" s="18">
        <v>177</v>
      </c>
      <c r="K556" s="18">
        <v>161</v>
      </c>
      <c r="L556" s="18">
        <v>168</v>
      </c>
      <c r="M556" s="18">
        <v>178</v>
      </c>
      <c r="N556" s="133">
        <f>SUM(B556:M556)</f>
        <v>1815</v>
      </c>
      <c r="O556" s="19">
        <f>IF(N556=0,0,AVERAGE(B556:M556))</f>
        <v>151.25</v>
      </c>
      <c r="P556" s="8"/>
      <c r="Q556" s="8"/>
      <c r="R556" s="8"/>
      <c r="S556" s="8"/>
      <c r="T556" s="8"/>
      <c r="U556" s="8"/>
      <c r="V556" s="8"/>
      <c r="W556" s="8"/>
      <c r="X556" s="8"/>
      <c r="Y556" s="8"/>
      <c r="Z556" s="8"/>
    </row>
    <row r="557" spans="1:26" s="9" customFormat="1" ht="15.75">
      <c r="A557" s="211" t="s">
        <v>126</v>
      </c>
      <c r="B557" s="81">
        <v>272</v>
      </c>
      <c r="C557" s="81">
        <v>336</v>
      </c>
      <c r="D557" s="18">
        <v>356</v>
      </c>
      <c r="E557" s="18">
        <v>332</v>
      </c>
      <c r="F557" s="18">
        <v>357</v>
      </c>
      <c r="G557" s="18">
        <v>375</v>
      </c>
      <c r="H557" s="18">
        <v>425</v>
      </c>
      <c r="I557" s="18">
        <v>406</v>
      </c>
      <c r="J557" s="18">
        <v>357</v>
      </c>
      <c r="K557" s="18">
        <v>379</v>
      </c>
      <c r="L557" s="18">
        <v>369</v>
      </c>
      <c r="M557" s="18">
        <v>393</v>
      </c>
      <c r="N557" s="133">
        <f>SUM(B557:M557)</f>
        <v>4357</v>
      </c>
      <c r="O557" s="19">
        <f>IF(N557=0,0,AVERAGE(B557:M557))</f>
        <v>363.08333333333331</v>
      </c>
      <c r="P557" s="8"/>
      <c r="Q557" s="8"/>
      <c r="R557" s="8"/>
      <c r="S557" s="8"/>
      <c r="T557" s="8"/>
      <c r="U557" s="8"/>
      <c r="V557" s="8"/>
      <c r="W557" s="8"/>
      <c r="X557" s="8"/>
      <c r="Y557" s="8"/>
      <c r="Z557" s="8"/>
    </row>
    <row r="558" spans="1:26" s="9" customFormat="1" ht="15.75">
      <c r="A558" s="211" t="s">
        <v>127</v>
      </c>
      <c r="B558" s="81">
        <v>107</v>
      </c>
      <c r="C558" s="81">
        <v>271</v>
      </c>
      <c r="D558" s="18">
        <v>380</v>
      </c>
      <c r="E558" s="18">
        <v>327</v>
      </c>
      <c r="F558" s="18">
        <v>349</v>
      </c>
      <c r="G558" s="18">
        <v>387</v>
      </c>
      <c r="H558" s="18">
        <v>349</v>
      </c>
      <c r="I558" s="18">
        <v>353</v>
      </c>
      <c r="J558" s="18">
        <v>336</v>
      </c>
      <c r="K558" s="18">
        <v>370</v>
      </c>
      <c r="L558" s="18">
        <v>325</v>
      </c>
      <c r="M558" s="18">
        <v>228</v>
      </c>
      <c r="N558" s="133">
        <f>SUM(B558:M558)</f>
        <v>3782</v>
      </c>
      <c r="O558" s="19">
        <f>IF(N558=0,0,AVERAGE(B558:M558))</f>
        <v>315.16666666666669</v>
      </c>
      <c r="P558" s="10"/>
      <c r="Q558" s="10"/>
      <c r="R558" s="10"/>
      <c r="S558" s="10"/>
      <c r="T558" s="10"/>
      <c r="U558" s="10"/>
      <c r="V558" s="10"/>
      <c r="W558" s="10"/>
      <c r="X558" s="10"/>
      <c r="Y558" s="10"/>
      <c r="Z558" s="10"/>
    </row>
    <row r="559" spans="1:26" s="9" customFormat="1" ht="15.75">
      <c r="A559" s="20" t="s">
        <v>21</v>
      </c>
      <c r="B559" s="21">
        <f t="shared" ref="B559:C559" si="343">SUM(B556:B558)</f>
        <v>465</v>
      </c>
      <c r="C559" s="21">
        <f t="shared" si="343"/>
        <v>771</v>
      </c>
      <c r="D559" s="21">
        <f t="shared" ref="D559:E559" si="344">SUM(D556:D558)</f>
        <v>930</v>
      </c>
      <c r="E559" s="21">
        <f t="shared" si="344"/>
        <v>823</v>
      </c>
      <c r="F559" s="21">
        <f t="shared" ref="F559:G559" si="345">SUM(F556:F558)</f>
        <v>868</v>
      </c>
      <c r="G559" s="21">
        <f t="shared" si="345"/>
        <v>939</v>
      </c>
      <c r="H559" s="21">
        <f t="shared" ref="H559:I559" si="346">SUM(H556:H558)</f>
        <v>885</v>
      </c>
      <c r="I559" s="21">
        <f t="shared" si="346"/>
        <v>832</v>
      </c>
      <c r="J559" s="21">
        <f t="shared" ref="J559:K559" si="347">SUM(J556:J558)</f>
        <v>870</v>
      </c>
      <c r="K559" s="21">
        <f t="shared" si="347"/>
        <v>910</v>
      </c>
      <c r="L559" s="21">
        <f t="shared" ref="L559:M559" si="348">SUM(L556:L558)</f>
        <v>862</v>
      </c>
      <c r="M559" s="21">
        <f t="shared" si="348"/>
        <v>799</v>
      </c>
      <c r="N559" s="128">
        <f>SUM(N556:N558)</f>
        <v>9954</v>
      </c>
      <c r="O559" s="22">
        <f>SUM(O556:O558)</f>
        <v>829.5</v>
      </c>
      <c r="P559" s="8"/>
      <c r="Q559" s="8"/>
      <c r="R559" s="8"/>
      <c r="S559" s="8"/>
      <c r="T559" s="8"/>
      <c r="U559" s="8"/>
      <c r="V559" s="8"/>
      <c r="W559" s="8"/>
      <c r="X559" s="8"/>
      <c r="Y559" s="8"/>
      <c r="Z559" s="8"/>
    </row>
    <row r="560" spans="1:26" s="9" customFormat="1" ht="15.75">
      <c r="A560" s="20" t="s">
        <v>112</v>
      </c>
      <c r="B560" s="22">
        <f t="shared" ref="B560:G560" si="349">IF(B559=0,"",B559/B$1676)</f>
        <v>15</v>
      </c>
      <c r="C560" s="22">
        <f t="shared" si="349"/>
        <v>27.535714285714285</v>
      </c>
      <c r="D560" s="22">
        <f t="shared" si="349"/>
        <v>30</v>
      </c>
      <c r="E560" s="22">
        <f t="shared" si="349"/>
        <v>27.433333333333334</v>
      </c>
      <c r="F560" s="22">
        <f t="shared" si="349"/>
        <v>28</v>
      </c>
      <c r="G560" s="22">
        <f t="shared" si="349"/>
        <v>31.3</v>
      </c>
      <c r="H560" s="22">
        <f t="shared" ref="H560:I560" si="350">IF(H559=0,"",H559/H$1676)</f>
        <v>28.548387096774192</v>
      </c>
      <c r="I560" s="22">
        <f t="shared" si="350"/>
        <v>26.838709677419356</v>
      </c>
      <c r="J560" s="22">
        <f t="shared" ref="J560:K560" si="351">IF(J559=0,"",J559/J$1676)</f>
        <v>29</v>
      </c>
      <c r="K560" s="22">
        <f t="shared" si="351"/>
        <v>29.35483870967742</v>
      </c>
      <c r="L560" s="22">
        <f t="shared" ref="L560:M560" si="352">IF(L559=0,"",L559/L$1676)</f>
        <v>28.733333333333334</v>
      </c>
      <c r="M560" s="22">
        <f t="shared" si="352"/>
        <v>25.774193548387096</v>
      </c>
      <c r="N560" s="128">
        <f>SUM(B560:M560)</f>
        <v>327.51850998463902</v>
      </c>
      <c r="O560" s="22">
        <f>IF(N560=0,0,AVERAGE(B560:M560))</f>
        <v>27.293209165386585</v>
      </c>
      <c r="P560" s="10"/>
      <c r="Q560" s="10"/>
      <c r="R560" s="10"/>
      <c r="S560" s="10"/>
      <c r="T560" s="10"/>
      <c r="U560" s="10"/>
      <c r="V560" s="10"/>
      <c r="W560" s="10"/>
      <c r="X560" s="10"/>
      <c r="Y560" s="10"/>
      <c r="Z560" s="10"/>
    </row>
    <row r="561" spans="1:26" s="9" customFormat="1" ht="15.75">
      <c r="A561" s="78"/>
      <c r="B561" s="39"/>
      <c r="C561" s="39"/>
      <c r="D561" s="39"/>
      <c r="E561" s="39"/>
      <c r="F561" s="39"/>
      <c r="G561" s="39"/>
      <c r="H561" s="39"/>
      <c r="I561" s="39"/>
      <c r="J561" s="39"/>
      <c r="K561" s="39"/>
      <c r="L561" s="39"/>
      <c r="M561" s="39"/>
      <c r="N561" s="147"/>
      <c r="O561" s="79"/>
      <c r="P561" s="8"/>
      <c r="Q561" s="8"/>
      <c r="R561" s="8"/>
      <c r="S561" s="8"/>
      <c r="T561" s="8"/>
      <c r="U561" s="8"/>
      <c r="V561" s="8"/>
      <c r="W561" s="8"/>
      <c r="X561" s="8"/>
      <c r="Y561" s="8"/>
      <c r="Z561" s="8"/>
    </row>
    <row r="562" spans="1:26" s="9" customFormat="1" ht="15.75">
      <c r="A562" s="60" t="s">
        <v>401</v>
      </c>
      <c r="B562" s="15"/>
      <c r="C562" s="15"/>
      <c r="D562" s="15"/>
      <c r="E562" s="15"/>
      <c r="F562" s="15"/>
      <c r="G562" s="15"/>
      <c r="H562" s="15"/>
      <c r="I562" s="15"/>
      <c r="J562" s="15"/>
      <c r="K562" s="15"/>
      <c r="L562" s="15"/>
      <c r="M562" s="15"/>
      <c r="N562" s="132"/>
      <c r="O562" s="16"/>
      <c r="P562" s="10"/>
      <c r="Q562" s="10"/>
      <c r="R562" s="10"/>
      <c r="S562" s="10"/>
      <c r="T562" s="10"/>
      <c r="U562" s="10"/>
      <c r="V562" s="10"/>
      <c r="W562" s="10"/>
      <c r="X562" s="10"/>
      <c r="Y562" s="10"/>
      <c r="Z562" s="10"/>
    </row>
    <row r="563" spans="1:26" s="9" customFormat="1" ht="15.75">
      <c r="A563" s="29" t="s">
        <v>128</v>
      </c>
      <c r="B563" s="18">
        <v>157</v>
      </c>
      <c r="C563" s="18">
        <v>160</v>
      </c>
      <c r="D563" s="18">
        <v>170</v>
      </c>
      <c r="E563" s="18">
        <v>54</v>
      </c>
      <c r="F563" s="18">
        <v>129</v>
      </c>
      <c r="G563" s="18">
        <v>173</v>
      </c>
      <c r="H563" s="18">
        <v>177</v>
      </c>
      <c r="I563" s="18">
        <v>175</v>
      </c>
      <c r="J563" s="18">
        <v>134</v>
      </c>
      <c r="K563" s="18">
        <v>143</v>
      </c>
      <c r="L563" s="18">
        <v>143</v>
      </c>
      <c r="M563" s="18">
        <v>171</v>
      </c>
      <c r="N563" s="133">
        <f>SUM(B563:M563)</f>
        <v>1786</v>
      </c>
      <c r="O563" s="19">
        <f>IF(N563=0,0,AVERAGE(B563:M563))</f>
        <v>148.83333333333334</v>
      </c>
      <c r="P563" s="10"/>
      <c r="Q563" s="10"/>
      <c r="R563" s="10"/>
      <c r="S563" s="10"/>
      <c r="T563" s="10"/>
      <c r="U563" s="10"/>
      <c r="V563" s="10"/>
      <c r="W563" s="10"/>
      <c r="X563" s="10"/>
      <c r="Y563" s="10"/>
      <c r="Z563" s="10"/>
    </row>
    <row r="564" spans="1:26" s="9" customFormat="1" ht="15.75">
      <c r="A564" s="20" t="s">
        <v>21</v>
      </c>
      <c r="B564" s="21">
        <f t="shared" ref="B564:C564" si="353">SUM(B563:B563)</f>
        <v>157</v>
      </c>
      <c r="C564" s="21">
        <f t="shared" si="353"/>
        <v>160</v>
      </c>
      <c r="D564" s="21">
        <f t="shared" ref="D564:E564" si="354">SUM(D563:D563)</f>
        <v>170</v>
      </c>
      <c r="E564" s="21">
        <f t="shared" si="354"/>
        <v>54</v>
      </c>
      <c r="F564" s="21">
        <f t="shared" ref="F564:G564" si="355">SUM(F563:F563)</f>
        <v>129</v>
      </c>
      <c r="G564" s="21">
        <f t="shared" si="355"/>
        <v>173</v>
      </c>
      <c r="H564" s="21">
        <f t="shared" ref="H564:I564" si="356">SUM(H563:H563)</f>
        <v>177</v>
      </c>
      <c r="I564" s="21">
        <f t="shared" si="356"/>
        <v>175</v>
      </c>
      <c r="J564" s="21">
        <f t="shared" ref="J564:K564" si="357">SUM(J563:J563)</f>
        <v>134</v>
      </c>
      <c r="K564" s="21">
        <f t="shared" si="357"/>
        <v>143</v>
      </c>
      <c r="L564" s="21">
        <f t="shared" ref="L564:M564" si="358">SUM(L563:L563)</f>
        <v>143</v>
      </c>
      <c r="M564" s="21">
        <f t="shared" si="358"/>
        <v>171</v>
      </c>
      <c r="N564" s="128">
        <f>SUM(N556:N563)</f>
        <v>22021.518509984639</v>
      </c>
      <c r="O564" s="22">
        <f>SUM(O556:O563)</f>
        <v>1835.1265424987198</v>
      </c>
      <c r="P564" s="8"/>
      <c r="Q564" s="8"/>
      <c r="R564" s="8"/>
      <c r="S564" s="8"/>
      <c r="T564" s="8"/>
      <c r="U564" s="8"/>
      <c r="V564" s="8"/>
      <c r="W564" s="8"/>
      <c r="X564" s="8"/>
      <c r="Y564" s="8"/>
      <c r="Z564" s="8"/>
    </row>
    <row r="565" spans="1:26" s="9" customFormat="1" ht="15.75">
      <c r="A565" s="20" t="s">
        <v>112</v>
      </c>
      <c r="B565" s="22">
        <f t="shared" ref="B565:G565" si="359">IF(B564=0,"",B564/B$1676)</f>
        <v>5.064516129032258</v>
      </c>
      <c r="C565" s="22">
        <f t="shared" si="359"/>
        <v>5.7142857142857144</v>
      </c>
      <c r="D565" s="22">
        <f t="shared" si="359"/>
        <v>5.4838709677419351</v>
      </c>
      <c r="E565" s="22">
        <f t="shared" si="359"/>
        <v>1.8</v>
      </c>
      <c r="F565" s="22">
        <f t="shared" si="359"/>
        <v>4.161290322580645</v>
      </c>
      <c r="G565" s="22">
        <f t="shared" si="359"/>
        <v>5.7666666666666666</v>
      </c>
      <c r="H565" s="22">
        <f t="shared" ref="H565:I565" si="360">IF(H564=0,"",H564/H$1676)</f>
        <v>5.709677419354839</v>
      </c>
      <c r="I565" s="22">
        <f t="shared" si="360"/>
        <v>5.645161290322581</v>
      </c>
      <c r="J565" s="22">
        <f t="shared" ref="J565:K565" si="361">IF(J564=0,"",J564/J$1676)</f>
        <v>4.4666666666666668</v>
      </c>
      <c r="K565" s="22">
        <f t="shared" si="361"/>
        <v>4.612903225806452</v>
      </c>
      <c r="L565" s="22">
        <f t="shared" ref="L565:M565" si="362">IF(L564=0,"",L564/L$1676)</f>
        <v>4.7666666666666666</v>
      </c>
      <c r="M565" s="22">
        <f t="shared" si="362"/>
        <v>5.5161290322580649</v>
      </c>
      <c r="N565" s="128">
        <f>SUM(B565:M565)</f>
        <v>58.707834101382488</v>
      </c>
      <c r="O565" s="22">
        <f>IF(N565=0,0,AVERAGE(B565:M565))</f>
        <v>4.8923195084485407</v>
      </c>
      <c r="P565" s="8"/>
      <c r="Q565" s="8"/>
      <c r="R565" s="8"/>
      <c r="S565" s="8"/>
      <c r="T565" s="8"/>
      <c r="U565" s="8"/>
      <c r="V565" s="8"/>
      <c r="W565" s="8"/>
      <c r="X565" s="8"/>
      <c r="Y565" s="8"/>
      <c r="Z565" s="8"/>
    </row>
    <row r="566" spans="1:26" s="9" customFormat="1" ht="15.75">
      <c r="A566" s="23"/>
      <c r="B566" s="24"/>
      <c r="C566" s="24"/>
      <c r="D566" s="24"/>
      <c r="E566" s="25"/>
      <c r="F566" s="25"/>
      <c r="G566" s="25"/>
      <c r="H566" s="25"/>
      <c r="I566" s="25"/>
      <c r="J566" s="25"/>
      <c r="K566" s="25"/>
      <c r="L566" s="25"/>
      <c r="M566" s="25"/>
      <c r="N566" s="134"/>
      <c r="O566" s="26"/>
      <c r="P566" s="10"/>
      <c r="Q566" s="10"/>
      <c r="R566" s="10"/>
      <c r="S566" s="10"/>
      <c r="T566" s="10"/>
      <c r="U566" s="10"/>
      <c r="V566" s="10"/>
      <c r="W566" s="10"/>
      <c r="X566" s="10"/>
      <c r="Y566" s="10"/>
      <c r="Z566" s="10"/>
    </row>
    <row r="567" spans="1:26" s="9" customFormat="1" ht="15.75">
      <c r="A567" s="14" t="s">
        <v>402</v>
      </c>
      <c r="B567" s="15"/>
      <c r="C567" s="15"/>
      <c r="D567" s="15"/>
      <c r="E567" s="15"/>
      <c r="F567" s="15"/>
      <c r="G567" s="15"/>
      <c r="H567" s="15"/>
      <c r="I567" s="15"/>
      <c r="J567" s="15"/>
      <c r="K567" s="15"/>
      <c r="L567" s="15"/>
      <c r="M567" s="15"/>
      <c r="N567" s="132"/>
      <c r="O567" s="16"/>
      <c r="P567" s="10"/>
      <c r="Q567" s="10"/>
      <c r="R567" s="10"/>
      <c r="S567" s="10"/>
      <c r="T567" s="10"/>
      <c r="U567" s="10"/>
      <c r="V567" s="10"/>
      <c r="W567" s="10"/>
      <c r="X567" s="10"/>
      <c r="Y567" s="10"/>
      <c r="Z567" s="10"/>
    </row>
    <row r="568" spans="1:26" s="9" customFormat="1" ht="15.75">
      <c r="A568" s="14" t="s">
        <v>403</v>
      </c>
      <c r="B568" s="15"/>
      <c r="C568" s="15"/>
      <c r="D568" s="15"/>
      <c r="E568" s="15"/>
      <c r="F568" s="15"/>
      <c r="G568" s="15"/>
      <c r="H568" s="15"/>
      <c r="I568" s="15"/>
      <c r="J568" s="15"/>
      <c r="K568" s="15"/>
      <c r="L568" s="15"/>
      <c r="M568" s="15"/>
      <c r="N568" s="132"/>
      <c r="O568" s="16"/>
      <c r="P568" s="10"/>
      <c r="Q568" s="10"/>
      <c r="R568" s="10"/>
      <c r="S568" s="10"/>
      <c r="T568" s="10"/>
      <c r="U568" s="10"/>
      <c r="V568" s="10"/>
      <c r="W568" s="10"/>
      <c r="X568" s="10"/>
      <c r="Y568" s="10"/>
      <c r="Z568" s="10"/>
    </row>
    <row r="569" spans="1:26" s="9" customFormat="1" ht="15.75">
      <c r="A569" s="34" t="s">
        <v>129</v>
      </c>
      <c r="B569" s="18">
        <v>550</v>
      </c>
      <c r="C569" s="18">
        <v>626</v>
      </c>
      <c r="D569" s="18">
        <v>291</v>
      </c>
      <c r="E569" s="18">
        <v>187</v>
      </c>
      <c r="F569" s="18">
        <v>736</v>
      </c>
      <c r="G569" s="18">
        <v>600</v>
      </c>
      <c r="H569" s="18">
        <v>728</v>
      </c>
      <c r="I569" s="18">
        <v>666</v>
      </c>
      <c r="J569" s="81">
        <v>491</v>
      </c>
      <c r="K569" s="81">
        <v>658</v>
      </c>
      <c r="L569" s="18">
        <v>706</v>
      </c>
      <c r="M569" s="18">
        <v>837</v>
      </c>
      <c r="N569" s="133">
        <f>SUM(B569:M569)</f>
        <v>7076</v>
      </c>
      <c r="O569" s="19">
        <f>IF(N569=0,0,AVERAGE(B569:M569))</f>
        <v>589.66666666666663</v>
      </c>
      <c r="P569" s="8"/>
      <c r="Q569" s="8"/>
      <c r="R569" s="8"/>
      <c r="S569" s="8"/>
      <c r="T569" s="8"/>
      <c r="U569" s="8"/>
      <c r="V569" s="8"/>
      <c r="W569" s="8"/>
      <c r="X569" s="8"/>
      <c r="Y569" s="8"/>
      <c r="Z569" s="8"/>
    </row>
    <row r="570" spans="1:26" s="9" customFormat="1" ht="15.75">
      <c r="A570" s="34" t="s">
        <v>130</v>
      </c>
      <c r="B570" s="18">
        <v>166</v>
      </c>
      <c r="C570" s="18">
        <v>173</v>
      </c>
      <c r="D570" s="18">
        <v>179</v>
      </c>
      <c r="E570" s="18">
        <v>117</v>
      </c>
      <c r="F570" s="18">
        <v>159</v>
      </c>
      <c r="G570" s="18">
        <v>254</v>
      </c>
      <c r="H570" s="18">
        <v>286</v>
      </c>
      <c r="I570" s="18">
        <v>189</v>
      </c>
      <c r="J570" s="81">
        <v>217</v>
      </c>
      <c r="K570" s="81">
        <v>183</v>
      </c>
      <c r="L570" s="18">
        <v>252</v>
      </c>
      <c r="M570" s="18">
        <v>252</v>
      </c>
      <c r="N570" s="133">
        <f>SUM(B570:M570)</f>
        <v>2427</v>
      </c>
      <c r="O570" s="19">
        <f>IF(N570=0,0,AVERAGE(B570:M570))</f>
        <v>202.25</v>
      </c>
      <c r="P570" s="10"/>
      <c r="Q570" s="10"/>
      <c r="R570" s="10"/>
      <c r="S570" s="10"/>
      <c r="T570" s="10"/>
      <c r="U570" s="10"/>
      <c r="V570" s="10"/>
      <c r="W570" s="10"/>
      <c r="X570" s="10"/>
      <c r="Y570" s="10"/>
      <c r="Z570" s="10"/>
    </row>
    <row r="571" spans="1:26" s="9" customFormat="1" ht="15.75">
      <c r="A571" s="37" t="s">
        <v>131</v>
      </c>
      <c r="B571" s="18">
        <v>764</v>
      </c>
      <c r="C571" s="18">
        <v>1191</v>
      </c>
      <c r="D571" s="18">
        <v>1453</v>
      </c>
      <c r="E571" s="18">
        <v>777</v>
      </c>
      <c r="F571" s="18">
        <v>1084</v>
      </c>
      <c r="G571" s="18">
        <v>1207</v>
      </c>
      <c r="H571" s="18">
        <v>1503</v>
      </c>
      <c r="I571" s="18">
        <v>1467</v>
      </c>
      <c r="J571" s="18">
        <v>1495</v>
      </c>
      <c r="K571" s="18">
        <v>1507</v>
      </c>
      <c r="L571" s="18">
        <v>1714</v>
      </c>
      <c r="M571" s="18">
        <v>1742</v>
      </c>
      <c r="N571" s="133">
        <f>SUM(B571:M571)</f>
        <v>15904</v>
      </c>
      <c r="O571" s="19">
        <f>IF(N571=0,0,AVERAGE(B571:M571))</f>
        <v>1325.3333333333333</v>
      </c>
      <c r="P571" s="10"/>
      <c r="Q571" s="10"/>
      <c r="R571" s="10"/>
      <c r="S571" s="10"/>
      <c r="T571" s="10"/>
      <c r="U571" s="10"/>
      <c r="V571" s="10"/>
      <c r="W571" s="10"/>
      <c r="X571" s="10"/>
      <c r="Y571" s="10"/>
      <c r="Z571" s="10"/>
    </row>
    <row r="572" spans="1:26" s="9" customFormat="1" ht="15.75">
      <c r="A572" s="37" t="s">
        <v>132</v>
      </c>
      <c r="B572" s="18">
        <v>0</v>
      </c>
      <c r="C572" s="18">
        <v>0</v>
      </c>
      <c r="D572" s="18">
        <v>0</v>
      </c>
      <c r="E572" s="18">
        <v>0</v>
      </c>
      <c r="F572" s="18">
        <v>0</v>
      </c>
      <c r="G572" s="18">
        <v>0</v>
      </c>
      <c r="H572" s="18">
        <v>0</v>
      </c>
      <c r="I572" s="18">
        <v>0</v>
      </c>
      <c r="J572" s="18">
        <v>0</v>
      </c>
      <c r="K572" s="18">
        <v>0</v>
      </c>
      <c r="L572" s="18">
        <v>0</v>
      </c>
      <c r="M572" s="18">
        <v>0</v>
      </c>
      <c r="N572" s="133">
        <f>SUM(B572:M572)</f>
        <v>0</v>
      </c>
      <c r="O572" s="19">
        <f>IF(N572=0,0,AVERAGE(B572:M572))</f>
        <v>0</v>
      </c>
      <c r="P572" s="10"/>
      <c r="Q572" s="10"/>
      <c r="R572" s="10"/>
      <c r="S572" s="10"/>
      <c r="T572" s="10"/>
      <c r="U572" s="10"/>
      <c r="V572" s="10"/>
      <c r="W572" s="10"/>
      <c r="X572" s="10"/>
      <c r="Y572" s="10"/>
      <c r="Z572" s="10"/>
    </row>
    <row r="573" spans="1:26" s="9" customFormat="1" ht="15.75">
      <c r="A573" s="56" t="s">
        <v>21</v>
      </c>
      <c r="B573" s="21">
        <f t="shared" ref="B573:C573" si="363">SUM(B569:B572)</f>
        <v>1480</v>
      </c>
      <c r="C573" s="21">
        <f t="shared" si="363"/>
        <v>1990</v>
      </c>
      <c r="D573" s="21">
        <f t="shared" ref="D573:E573" si="364">SUM(D569:D572)</f>
        <v>1923</v>
      </c>
      <c r="E573" s="21">
        <f t="shared" si="364"/>
        <v>1081</v>
      </c>
      <c r="F573" s="21">
        <f t="shared" ref="F573:G573" si="365">SUM(F569:F572)</f>
        <v>1979</v>
      </c>
      <c r="G573" s="21">
        <f t="shared" si="365"/>
        <v>2061</v>
      </c>
      <c r="H573" s="21">
        <f t="shared" ref="H573:I573" si="366">SUM(H569:H572)</f>
        <v>2517</v>
      </c>
      <c r="I573" s="21">
        <f t="shared" si="366"/>
        <v>2322</v>
      </c>
      <c r="J573" s="21">
        <f t="shared" ref="J573:K573" si="367">SUM(J569:J572)</f>
        <v>2203</v>
      </c>
      <c r="K573" s="21">
        <f t="shared" si="367"/>
        <v>2348</v>
      </c>
      <c r="L573" s="21">
        <f t="shared" ref="L573:M573" si="368">SUM(L569:L572)</f>
        <v>2672</v>
      </c>
      <c r="M573" s="21">
        <f t="shared" si="368"/>
        <v>2831</v>
      </c>
      <c r="N573" s="128">
        <f>SUM(N569:N572)</f>
        <v>25407</v>
      </c>
      <c r="O573" s="22">
        <f>SUM(O569:O572)</f>
        <v>2117.25</v>
      </c>
      <c r="P573" s="8"/>
      <c r="Q573" s="8"/>
      <c r="R573" s="8"/>
      <c r="S573" s="8"/>
      <c r="T573" s="8"/>
      <c r="U573" s="8"/>
      <c r="V573" s="8"/>
      <c r="W573" s="8"/>
      <c r="X573" s="8"/>
      <c r="Y573" s="8"/>
      <c r="Z573" s="8"/>
    </row>
    <row r="574" spans="1:26" s="9" customFormat="1" ht="15.75">
      <c r="A574" s="74" t="s">
        <v>112</v>
      </c>
      <c r="B574" s="22">
        <f t="shared" ref="B574:G574" si="369">IF(B573=0,"",B573/B$1676)</f>
        <v>47.741935483870968</v>
      </c>
      <c r="C574" s="22">
        <f t="shared" si="369"/>
        <v>71.071428571428569</v>
      </c>
      <c r="D574" s="22">
        <f t="shared" si="369"/>
        <v>62.032258064516128</v>
      </c>
      <c r="E574" s="22">
        <f t="shared" si="369"/>
        <v>36.033333333333331</v>
      </c>
      <c r="F574" s="22">
        <f t="shared" si="369"/>
        <v>63.838709677419352</v>
      </c>
      <c r="G574" s="22">
        <f t="shared" si="369"/>
        <v>68.7</v>
      </c>
      <c r="H574" s="22">
        <f t="shared" ref="H574:I574" si="370">IF(H573=0,"",H573/H$1676)</f>
        <v>81.193548387096769</v>
      </c>
      <c r="I574" s="22">
        <f t="shared" si="370"/>
        <v>74.903225806451616</v>
      </c>
      <c r="J574" s="22">
        <f t="shared" ref="J574:K574" si="371">IF(J573=0,"",J573/J$1676)</f>
        <v>73.433333333333337</v>
      </c>
      <c r="K574" s="22">
        <f t="shared" si="371"/>
        <v>75.741935483870961</v>
      </c>
      <c r="L574" s="22">
        <f t="shared" ref="L574:M574" si="372">IF(L573=0,"",L573/L$1676)</f>
        <v>89.066666666666663</v>
      </c>
      <c r="M574" s="22">
        <f t="shared" si="372"/>
        <v>91.322580645161295</v>
      </c>
      <c r="N574" s="128">
        <f>SUM(B574:M574)</f>
        <v>835.07895545314898</v>
      </c>
      <c r="O574" s="22">
        <f>IF(N574=0,0,AVERAGE(B574:M574))</f>
        <v>69.589912954429082</v>
      </c>
      <c r="P574" s="8"/>
      <c r="Q574" s="8"/>
      <c r="R574" s="8"/>
      <c r="S574" s="8"/>
      <c r="T574" s="8"/>
      <c r="U574" s="8"/>
      <c r="V574" s="8"/>
      <c r="W574" s="8"/>
      <c r="X574" s="8"/>
      <c r="Y574" s="8"/>
      <c r="Z574" s="8"/>
    </row>
    <row r="575" spans="1:26" customFormat="1" ht="14.25"/>
    <row r="576" spans="1:26" s="4" customFormat="1" ht="15.75">
      <c r="A576" s="60" t="s">
        <v>649</v>
      </c>
      <c r="B576" s="15"/>
      <c r="C576" s="15"/>
      <c r="D576" s="15"/>
      <c r="E576" s="15"/>
      <c r="F576" s="15"/>
      <c r="G576" s="15"/>
      <c r="H576" s="15"/>
      <c r="I576" s="15"/>
      <c r="J576" s="15"/>
      <c r="K576" s="15"/>
      <c r="L576" s="15"/>
      <c r="M576" s="15"/>
      <c r="N576" s="132"/>
      <c r="O576" s="16"/>
    </row>
    <row r="577" spans="1:15" s="4" customFormat="1" ht="15.75">
      <c r="A577" s="37" t="s">
        <v>18</v>
      </c>
      <c r="B577" s="18">
        <v>141</v>
      </c>
      <c r="C577" s="18">
        <v>145</v>
      </c>
      <c r="D577" s="18">
        <v>65</v>
      </c>
      <c r="E577" s="18">
        <v>83</v>
      </c>
      <c r="F577" s="18">
        <v>120</v>
      </c>
      <c r="G577" s="18">
        <v>182</v>
      </c>
      <c r="H577" s="18">
        <v>232</v>
      </c>
      <c r="I577" s="18">
        <v>166</v>
      </c>
      <c r="J577" s="18">
        <v>156</v>
      </c>
      <c r="K577" s="18">
        <v>140</v>
      </c>
      <c r="L577" s="18">
        <v>203</v>
      </c>
      <c r="M577" s="18">
        <v>189</v>
      </c>
      <c r="N577" s="133">
        <f>SUM(B577:M577)</f>
        <v>1822</v>
      </c>
      <c r="O577" s="19">
        <f>IF(N577=0,0,AVERAGE(B577:M577))</f>
        <v>151.83333333333334</v>
      </c>
    </row>
    <row r="578" spans="1:15" s="4" customFormat="1" ht="15.75">
      <c r="A578" s="37" t="s">
        <v>19</v>
      </c>
      <c r="B578" s="18">
        <v>25</v>
      </c>
      <c r="C578" s="18">
        <v>28</v>
      </c>
      <c r="D578" s="18">
        <v>114</v>
      </c>
      <c r="E578" s="18">
        <v>34</v>
      </c>
      <c r="F578" s="18">
        <v>39</v>
      </c>
      <c r="G578" s="18">
        <v>72</v>
      </c>
      <c r="H578" s="18">
        <v>54</v>
      </c>
      <c r="I578" s="18">
        <v>23</v>
      </c>
      <c r="J578" s="18">
        <v>61</v>
      </c>
      <c r="K578" s="18">
        <v>43</v>
      </c>
      <c r="L578" s="18">
        <v>49</v>
      </c>
      <c r="M578" s="18">
        <v>77</v>
      </c>
      <c r="N578" s="133">
        <f>SUM(B578:M578)</f>
        <v>619</v>
      </c>
      <c r="O578" s="19">
        <f>IF(N578=0,0,AVERAGE(B578:M578))</f>
        <v>51.583333333333336</v>
      </c>
    </row>
    <row r="579" spans="1:15" s="4" customFormat="1" ht="15.75">
      <c r="A579" s="37" t="s">
        <v>20</v>
      </c>
      <c r="B579" s="18">
        <v>0</v>
      </c>
      <c r="C579" s="18">
        <v>0</v>
      </c>
      <c r="D579" s="18">
        <v>0</v>
      </c>
      <c r="E579" s="18">
        <v>0</v>
      </c>
      <c r="F579" s="18">
        <v>0</v>
      </c>
      <c r="G579" s="18">
        <v>0</v>
      </c>
      <c r="H579" s="18">
        <v>0</v>
      </c>
      <c r="I579" s="18">
        <v>0</v>
      </c>
      <c r="J579" s="18">
        <v>0</v>
      </c>
      <c r="K579" s="18">
        <v>0</v>
      </c>
      <c r="L579" s="18">
        <v>0</v>
      </c>
      <c r="M579" s="18">
        <v>0</v>
      </c>
      <c r="N579" s="133">
        <f>SUM(B579:M579)</f>
        <v>0</v>
      </c>
      <c r="O579" s="19">
        <f>IF(N579=0,0,AVERAGE(B579:M579))</f>
        <v>0</v>
      </c>
    </row>
    <row r="580" spans="1:15" s="4" customFormat="1" ht="15.75">
      <c r="A580" s="37" t="s">
        <v>636</v>
      </c>
      <c r="B580" s="18">
        <v>357</v>
      </c>
      <c r="C580" s="18">
        <v>563</v>
      </c>
      <c r="D580" s="18">
        <v>668</v>
      </c>
      <c r="E580" s="18">
        <v>319</v>
      </c>
      <c r="F580" s="18">
        <v>466</v>
      </c>
      <c r="G580" s="18">
        <v>531</v>
      </c>
      <c r="H580" s="18">
        <v>709</v>
      </c>
      <c r="I580" s="18">
        <v>696</v>
      </c>
      <c r="J580" s="18">
        <v>701</v>
      </c>
      <c r="K580" s="18">
        <v>771</v>
      </c>
      <c r="L580" s="18">
        <v>843</v>
      </c>
      <c r="M580" s="18">
        <v>856</v>
      </c>
      <c r="N580" s="133">
        <f>SUM(B580:M580)</f>
        <v>7480</v>
      </c>
      <c r="O580" s="19">
        <f>IF(N580=0,0,AVERAGE(B580:M580))</f>
        <v>623.33333333333337</v>
      </c>
    </row>
    <row r="581" spans="1:15" s="4" customFormat="1" ht="15.75">
      <c r="A581" s="56" t="s">
        <v>21</v>
      </c>
      <c r="B581" s="21">
        <f t="shared" ref="B581:C581" si="373">SUM(B577:B580)</f>
        <v>523</v>
      </c>
      <c r="C581" s="21">
        <f t="shared" si="373"/>
        <v>736</v>
      </c>
      <c r="D581" s="21">
        <f t="shared" ref="D581:E581" si="374">SUM(D577:D580)</f>
        <v>847</v>
      </c>
      <c r="E581" s="21">
        <f t="shared" si="374"/>
        <v>436</v>
      </c>
      <c r="F581" s="21">
        <f t="shared" ref="F581:G581" si="375">SUM(F577:F580)</f>
        <v>625</v>
      </c>
      <c r="G581" s="21">
        <f t="shared" si="375"/>
        <v>785</v>
      </c>
      <c r="H581" s="21">
        <f t="shared" ref="H581:I581" si="376">SUM(H577:H580)</f>
        <v>995</v>
      </c>
      <c r="I581" s="21">
        <f t="shared" si="376"/>
        <v>885</v>
      </c>
      <c r="J581" s="21">
        <f t="shared" ref="J581:K581" si="377">SUM(J577:J580)</f>
        <v>918</v>
      </c>
      <c r="K581" s="21">
        <f t="shared" si="377"/>
        <v>954</v>
      </c>
      <c r="L581" s="21">
        <f t="shared" ref="L581:M581" si="378">SUM(L577:L580)</f>
        <v>1095</v>
      </c>
      <c r="M581" s="21">
        <f t="shared" si="378"/>
        <v>1122</v>
      </c>
      <c r="N581" s="128">
        <f>SUM(N577:N579)</f>
        <v>2441</v>
      </c>
      <c r="O581" s="22">
        <f>SUM(O577:O579)</f>
        <v>203.41666666666669</v>
      </c>
    </row>
    <row r="582" spans="1:15" s="4" customFormat="1" ht="15.75">
      <c r="A582" s="56" t="s">
        <v>112</v>
      </c>
      <c r="B582" s="22">
        <f t="shared" ref="B582:G582" si="379">IF(B581=0,"",B581/B$1676)</f>
        <v>16.870967741935484</v>
      </c>
      <c r="C582" s="22">
        <f t="shared" si="379"/>
        <v>26.285714285714285</v>
      </c>
      <c r="D582" s="22">
        <f t="shared" si="379"/>
        <v>27.322580645161292</v>
      </c>
      <c r="E582" s="22">
        <f t="shared" si="379"/>
        <v>14.533333333333333</v>
      </c>
      <c r="F582" s="22">
        <f t="shared" si="379"/>
        <v>20.161290322580644</v>
      </c>
      <c r="G582" s="22">
        <f t="shared" si="379"/>
        <v>26.166666666666668</v>
      </c>
      <c r="H582" s="22">
        <f t="shared" ref="H582:I582" si="380">IF(H581=0,"",H581/H$1676)</f>
        <v>32.096774193548384</v>
      </c>
      <c r="I582" s="22">
        <f t="shared" si="380"/>
        <v>28.548387096774192</v>
      </c>
      <c r="J582" s="22">
        <f t="shared" ref="J582:K582" si="381">IF(J581=0,"",J581/J$1676)</f>
        <v>30.6</v>
      </c>
      <c r="K582" s="22">
        <f t="shared" si="381"/>
        <v>30.774193548387096</v>
      </c>
      <c r="L582" s="22">
        <f t="shared" ref="L582:M582" si="382">IF(L581=0,"",L581/L$1676)</f>
        <v>36.5</v>
      </c>
      <c r="M582" s="22">
        <f t="shared" si="382"/>
        <v>36.193548387096776</v>
      </c>
      <c r="N582" s="128">
        <f>SUM(B582:M582)</f>
        <v>326.05345622119813</v>
      </c>
      <c r="O582" s="22">
        <f>IF(N582=0,0,AVERAGE(B582:M582))</f>
        <v>27.171121351766512</v>
      </c>
    </row>
    <row r="583" spans="1:15" customFormat="1" ht="15.75">
      <c r="A583" s="87"/>
      <c r="B583" s="88"/>
      <c r="C583" s="88"/>
      <c r="D583" s="88"/>
      <c r="E583" s="89"/>
      <c r="F583" s="89"/>
      <c r="G583" s="89"/>
      <c r="H583" s="89"/>
      <c r="I583" s="89"/>
      <c r="J583" s="89"/>
      <c r="K583" s="89"/>
      <c r="L583" s="89"/>
      <c r="M583" s="89"/>
      <c r="N583" s="149"/>
      <c r="O583" s="13"/>
    </row>
    <row r="584" spans="1:15" customFormat="1" ht="15.75">
      <c r="A584" s="60" t="s">
        <v>650</v>
      </c>
      <c r="B584" s="15"/>
      <c r="C584" s="15"/>
      <c r="D584" s="15"/>
      <c r="E584" s="15"/>
      <c r="F584" s="15"/>
      <c r="G584" s="15"/>
      <c r="H584" s="15"/>
      <c r="I584" s="15"/>
      <c r="J584" s="15"/>
      <c r="K584" s="15"/>
      <c r="L584" s="15"/>
      <c r="M584" s="15"/>
      <c r="N584" s="132"/>
      <c r="O584" s="16"/>
    </row>
    <row r="585" spans="1:15" customFormat="1" ht="15.75">
      <c r="A585" s="34" t="s">
        <v>114</v>
      </c>
      <c r="B585" s="18">
        <v>407</v>
      </c>
      <c r="C585" s="18">
        <v>628</v>
      </c>
      <c r="D585" s="18">
        <v>785</v>
      </c>
      <c r="E585" s="18">
        <v>458</v>
      </c>
      <c r="F585" s="18">
        <v>618</v>
      </c>
      <c r="G585" s="18">
        <v>676</v>
      </c>
      <c r="H585" s="18">
        <v>794</v>
      </c>
      <c r="I585" s="18">
        <v>771</v>
      </c>
      <c r="J585" s="18">
        <v>794</v>
      </c>
      <c r="K585" s="18">
        <v>736</v>
      </c>
      <c r="L585" s="18">
        <v>871</v>
      </c>
      <c r="M585" s="18">
        <v>886</v>
      </c>
      <c r="N585" s="133">
        <f>SUM(B585:M585)</f>
        <v>8424</v>
      </c>
      <c r="O585" s="19">
        <f>IF(N585=0,0,AVERAGE(B585:M585))</f>
        <v>702</v>
      </c>
    </row>
    <row r="586" spans="1:15" s="4" customFormat="1" ht="15.75">
      <c r="A586" s="56" t="s">
        <v>21</v>
      </c>
      <c r="B586" s="21">
        <f t="shared" ref="B586:C586" si="383">SUM(B585)</f>
        <v>407</v>
      </c>
      <c r="C586" s="21">
        <f t="shared" si="383"/>
        <v>628</v>
      </c>
      <c r="D586" s="21">
        <f t="shared" ref="D586:E586" si="384">SUM(D585)</f>
        <v>785</v>
      </c>
      <c r="E586" s="21">
        <f t="shared" si="384"/>
        <v>458</v>
      </c>
      <c r="F586" s="21">
        <f t="shared" ref="F586:G586" si="385">SUM(F585)</f>
        <v>618</v>
      </c>
      <c r="G586" s="21">
        <f t="shared" si="385"/>
        <v>676</v>
      </c>
      <c r="H586" s="21">
        <f t="shared" ref="H586:I586" si="386">SUM(H585)</f>
        <v>794</v>
      </c>
      <c r="I586" s="21">
        <f t="shared" si="386"/>
        <v>771</v>
      </c>
      <c r="J586" s="21">
        <f t="shared" ref="J586:K586" si="387">SUM(J585)</f>
        <v>794</v>
      </c>
      <c r="K586" s="21">
        <f t="shared" si="387"/>
        <v>736</v>
      </c>
      <c r="L586" s="21">
        <f t="shared" ref="L586:M586" si="388">SUM(L585)</f>
        <v>871</v>
      </c>
      <c r="M586" s="21">
        <f t="shared" si="388"/>
        <v>886</v>
      </c>
      <c r="N586" s="128">
        <f>SUM(N585)</f>
        <v>8424</v>
      </c>
      <c r="O586" s="22">
        <f>SUM(O585)</f>
        <v>702</v>
      </c>
    </row>
    <row r="587" spans="1:15" s="4" customFormat="1" ht="15.75">
      <c r="A587" s="56" t="s">
        <v>112</v>
      </c>
      <c r="B587" s="22">
        <f t="shared" ref="B587:G587" si="389">IF(B586=0,"",B586/B$1676)</f>
        <v>13.129032258064516</v>
      </c>
      <c r="C587" s="22">
        <f t="shared" si="389"/>
        <v>22.428571428571427</v>
      </c>
      <c r="D587" s="22">
        <f t="shared" si="389"/>
        <v>25.322580645161292</v>
      </c>
      <c r="E587" s="22">
        <f t="shared" si="389"/>
        <v>15.266666666666667</v>
      </c>
      <c r="F587" s="22">
        <f t="shared" si="389"/>
        <v>19.93548387096774</v>
      </c>
      <c r="G587" s="22">
        <f t="shared" si="389"/>
        <v>22.533333333333335</v>
      </c>
      <c r="H587" s="22">
        <f t="shared" ref="H587:I587" si="390">IF(H586=0,"",H586/H$1676)</f>
        <v>25.612903225806452</v>
      </c>
      <c r="I587" s="22">
        <f t="shared" si="390"/>
        <v>24.870967741935484</v>
      </c>
      <c r="J587" s="22">
        <f t="shared" ref="J587:K587" si="391">IF(J586=0,"",J586/J$1676)</f>
        <v>26.466666666666665</v>
      </c>
      <c r="K587" s="22">
        <f t="shared" si="391"/>
        <v>23.741935483870968</v>
      </c>
      <c r="L587" s="22">
        <f t="shared" ref="L587:M587" si="392">IF(L586=0,"",L586/L$1676)</f>
        <v>29.033333333333335</v>
      </c>
      <c r="M587" s="22">
        <f t="shared" si="392"/>
        <v>28.580645161290324</v>
      </c>
      <c r="N587" s="128">
        <f>SUM(B587:M587)</f>
        <v>276.92211981566822</v>
      </c>
      <c r="O587" s="22">
        <f>IF(N587=0,0,AVERAGE(B587:M587))</f>
        <v>23.076843317972351</v>
      </c>
    </row>
    <row r="588" spans="1:15" customFormat="1" ht="14.25">
      <c r="C588" s="4"/>
      <c r="D588" s="4"/>
      <c r="E588" s="4"/>
      <c r="F588" s="4"/>
      <c r="G588" s="4"/>
      <c r="H588" s="4"/>
      <c r="I588" s="4"/>
      <c r="J588" s="4"/>
      <c r="K588" s="4"/>
      <c r="L588" s="4"/>
      <c r="M588" s="4"/>
    </row>
    <row r="589" spans="1:15" customFormat="1" ht="15.75">
      <c r="A589" s="90" t="s">
        <v>633</v>
      </c>
      <c r="B589" s="86">
        <f t="shared" ref="B589:G589" si="393">B573</f>
        <v>1480</v>
      </c>
      <c r="C589" s="86">
        <f t="shared" si="393"/>
        <v>1990</v>
      </c>
      <c r="D589" s="86">
        <f t="shared" si="393"/>
        <v>1923</v>
      </c>
      <c r="E589" s="86">
        <f t="shared" si="393"/>
        <v>1081</v>
      </c>
      <c r="F589" s="86">
        <f t="shared" si="393"/>
        <v>1979</v>
      </c>
      <c r="G589" s="86">
        <f t="shared" si="393"/>
        <v>2061</v>
      </c>
      <c r="H589" s="86">
        <f t="shared" ref="H589:I589" si="394">H573</f>
        <v>2517</v>
      </c>
      <c r="I589" s="86">
        <f t="shared" si="394"/>
        <v>2322</v>
      </c>
      <c r="J589" s="86">
        <f t="shared" ref="J589:K589" si="395">J573</f>
        <v>2203</v>
      </c>
      <c r="K589" s="86">
        <f t="shared" si="395"/>
        <v>2348</v>
      </c>
      <c r="L589" s="86">
        <f t="shared" ref="L589:M589" si="396">L573</f>
        <v>2672</v>
      </c>
      <c r="M589" s="86">
        <f t="shared" si="396"/>
        <v>2831</v>
      </c>
      <c r="N589" s="133">
        <f>SUM(B589:M589)</f>
        <v>25407</v>
      </c>
      <c r="O589" s="19">
        <f>IF(N589=0,0,AVERAGE(B589:M589))</f>
        <v>2117.25</v>
      </c>
    </row>
    <row r="590" spans="1:15" customFormat="1" ht="15.75">
      <c r="A590" s="90" t="s">
        <v>634</v>
      </c>
      <c r="B590" s="86">
        <f t="shared" ref="B590:C590" si="397">B586</f>
        <v>407</v>
      </c>
      <c r="C590" s="86">
        <f t="shared" si="397"/>
        <v>628</v>
      </c>
      <c r="D590" s="86">
        <f t="shared" ref="D590:E590" si="398">D586</f>
        <v>785</v>
      </c>
      <c r="E590" s="86">
        <f t="shared" si="398"/>
        <v>458</v>
      </c>
      <c r="F590" s="86">
        <f t="shared" ref="F590:G590" si="399">F586</f>
        <v>618</v>
      </c>
      <c r="G590" s="86">
        <f t="shared" si="399"/>
        <v>676</v>
      </c>
      <c r="H590" s="86">
        <f t="shared" ref="H590:I590" si="400">H586</f>
        <v>794</v>
      </c>
      <c r="I590" s="86">
        <f t="shared" si="400"/>
        <v>771</v>
      </c>
      <c r="J590" s="86">
        <f t="shared" ref="J590:K590" si="401">J586</f>
        <v>794</v>
      </c>
      <c r="K590" s="86">
        <f t="shared" si="401"/>
        <v>736</v>
      </c>
      <c r="L590" s="86">
        <f t="shared" ref="L590:M590" si="402">L586</f>
        <v>871</v>
      </c>
      <c r="M590" s="86">
        <f t="shared" si="402"/>
        <v>886</v>
      </c>
      <c r="N590" s="133">
        <f>SUM(B590:M590)</f>
        <v>8424</v>
      </c>
      <c r="O590" s="19">
        <f>IF(N590=0,0,AVERAGE(B590:M590))</f>
        <v>702</v>
      </c>
    </row>
    <row r="591" spans="1:15" customFormat="1" ht="15.75">
      <c r="A591" s="240" t="s">
        <v>635</v>
      </c>
      <c r="B591" s="333">
        <f t="shared" ref="B591:C591" si="403">SUM(B589:B590)</f>
        <v>1887</v>
      </c>
      <c r="C591" s="333">
        <f t="shared" si="403"/>
        <v>2618</v>
      </c>
      <c r="D591" s="333">
        <f t="shared" ref="D591:E591" si="404">SUM(D589:D590)</f>
        <v>2708</v>
      </c>
      <c r="E591" s="333">
        <f t="shared" si="404"/>
        <v>1539</v>
      </c>
      <c r="F591" s="333">
        <f t="shared" ref="F591:G591" si="405">SUM(F589:F590)</f>
        <v>2597</v>
      </c>
      <c r="G591" s="333">
        <f t="shared" si="405"/>
        <v>2737</v>
      </c>
      <c r="H591" s="333">
        <f t="shared" ref="H591:I591" si="406">SUM(H589:H590)</f>
        <v>3311</v>
      </c>
      <c r="I591" s="333">
        <f t="shared" si="406"/>
        <v>3093</v>
      </c>
      <c r="J591" s="333">
        <f t="shared" ref="J591:K591" si="407">SUM(J589:J590)</f>
        <v>2997</v>
      </c>
      <c r="K591" s="333">
        <f t="shared" si="407"/>
        <v>3084</v>
      </c>
      <c r="L591" s="333">
        <f t="shared" ref="L591:M591" si="408">SUM(L589:L590)</f>
        <v>3543</v>
      </c>
      <c r="M591" s="333">
        <f t="shared" si="408"/>
        <v>3717</v>
      </c>
      <c r="N591" s="334">
        <f>SUM(N589:N590)</f>
        <v>33831</v>
      </c>
      <c r="O591" s="335">
        <f>SUM(O589:O590)</f>
        <v>2819.25</v>
      </c>
    </row>
    <row r="592" spans="1:15" customFormat="1" ht="14.25"/>
    <row r="593" spans="1:15" customFormat="1" ht="15.75">
      <c r="A593" s="60" t="s">
        <v>651</v>
      </c>
      <c r="B593" s="15"/>
      <c r="C593" s="15"/>
      <c r="D593" s="15"/>
      <c r="E593" s="15"/>
      <c r="F593" s="15"/>
      <c r="G593" s="15"/>
      <c r="H593" s="15"/>
      <c r="I593" s="15"/>
      <c r="J593" s="15"/>
      <c r="K593" s="15"/>
      <c r="L593" s="15"/>
      <c r="M593" s="15"/>
      <c r="N593" s="132"/>
      <c r="O593" s="16"/>
    </row>
    <row r="594" spans="1:15" customFormat="1" ht="15.75">
      <c r="A594" s="80" t="s">
        <v>312</v>
      </c>
      <c r="B594" s="18">
        <f t="shared" ref="B594:M594" si="409">B556</f>
        <v>86</v>
      </c>
      <c r="C594" s="18">
        <f t="shared" si="409"/>
        <v>164</v>
      </c>
      <c r="D594" s="18">
        <f t="shared" si="409"/>
        <v>194</v>
      </c>
      <c r="E594" s="18">
        <f t="shared" si="409"/>
        <v>164</v>
      </c>
      <c r="F594" s="18">
        <f t="shared" si="409"/>
        <v>162</v>
      </c>
      <c r="G594" s="18">
        <f t="shared" si="409"/>
        <v>177</v>
      </c>
      <c r="H594" s="18">
        <f t="shared" si="409"/>
        <v>111</v>
      </c>
      <c r="I594" s="18">
        <f t="shared" si="409"/>
        <v>73</v>
      </c>
      <c r="J594" s="18">
        <f t="shared" si="409"/>
        <v>177</v>
      </c>
      <c r="K594" s="18">
        <f t="shared" si="409"/>
        <v>161</v>
      </c>
      <c r="L594" s="18">
        <f t="shared" si="409"/>
        <v>168</v>
      </c>
      <c r="M594" s="18">
        <f t="shared" si="409"/>
        <v>178</v>
      </c>
      <c r="N594" s="133">
        <f>SUM(B594:M594)</f>
        <v>1815</v>
      </c>
      <c r="O594" s="19">
        <f>IF(N594=0,0,AVERAGE(B594:M594))</f>
        <v>151.25</v>
      </c>
    </row>
    <row r="595" spans="1:15" s="4" customFormat="1" ht="15.75">
      <c r="A595" s="34" t="s">
        <v>133</v>
      </c>
      <c r="B595" s="18">
        <v>2251</v>
      </c>
      <c r="C595" s="18">
        <f>1148+658+352</f>
        <v>2158</v>
      </c>
      <c r="D595" s="18">
        <f>1253+540+279</f>
        <v>2072</v>
      </c>
      <c r="E595" s="18">
        <f>664+202+169</f>
        <v>1035</v>
      </c>
      <c r="F595" s="18">
        <f>1025+634+241</f>
        <v>1900</v>
      </c>
      <c r="G595" s="18">
        <f>489+654+167</f>
        <v>1310</v>
      </c>
      <c r="H595" s="18">
        <f>1123+495+1</f>
        <v>1619</v>
      </c>
      <c r="I595" s="18">
        <f>648+561</f>
        <v>1209</v>
      </c>
      <c r="J595" s="81">
        <f>1089+726</f>
        <v>1815</v>
      </c>
      <c r="K595" s="81">
        <f>1024+581+274+1</f>
        <v>1880</v>
      </c>
      <c r="L595" s="81">
        <v>1166</v>
      </c>
      <c r="M595" s="18">
        <v>946</v>
      </c>
      <c r="N595" s="133">
        <f>SUM(B595:M595)</f>
        <v>19361</v>
      </c>
      <c r="O595" s="19">
        <f>IF(N595=0,0,AVERAGE(B595:M595))</f>
        <v>1613.4166666666667</v>
      </c>
    </row>
    <row r="596" spans="1:15" s="4" customFormat="1" ht="15.75">
      <c r="A596" s="34" t="s">
        <v>134</v>
      </c>
      <c r="B596" s="18">
        <v>3</v>
      </c>
      <c r="C596" s="18">
        <f>2+2+1</f>
        <v>5</v>
      </c>
      <c r="D596" s="18">
        <f>4+5+1</f>
        <v>10</v>
      </c>
      <c r="E596" s="18">
        <v>12</v>
      </c>
      <c r="F596" s="18">
        <f>2+0+1</f>
        <v>3</v>
      </c>
      <c r="G596" s="18">
        <f>2+1</f>
        <v>3</v>
      </c>
      <c r="H596" s="18">
        <f>1+5</f>
        <v>6</v>
      </c>
      <c r="I596" s="18">
        <v>6</v>
      </c>
      <c r="J596" s="81">
        <f>1+3</f>
        <v>4</v>
      </c>
      <c r="K596" s="18">
        <f>2+1</f>
        <v>3</v>
      </c>
      <c r="L596" s="18">
        <v>4</v>
      </c>
      <c r="M596" s="18">
        <v>5</v>
      </c>
      <c r="N596" s="133">
        <f>SUM(B596:M596)</f>
        <v>64</v>
      </c>
      <c r="O596" s="19">
        <f>IF(N596=0,0,AVERAGE(B596:M596))</f>
        <v>5.333333333333333</v>
      </c>
    </row>
    <row r="597" spans="1:15" s="4" customFormat="1" ht="15.75">
      <c r="A597" s="34" t="s">
        <v>573</v>
      </c>
      <c r="B597" s="18">
        <v>40</v>
      </c>
      <c r="C597" s="18">
        <f>29+6+19</f>
        <v>54</v>
      </c>
      <c r="D597" s="18">
        <f>29+8+18</f>
        <v>55</v>
      </c>
      <c r="E597" s="18">
        <v>25</v>
      </c>
      <c r="F597" s="18">
        <f>24+5+22</f>
        <v>51</v>
      </c>
      <c r="G597" s="18">
        <f>8+17+35</f>
        <v>60</v>
      </c>
      <c r="H597" s="18">
        <f>23+26</f>
        <v>49</v>
      </c>
      <c r="I597" s="18">
        <f>24+37</f>
        <v>61</v>
      </c>
      <c r="J597" s="81">
        <f>25+24</f>
        <v>49</v>
      </c>
      <c r="K597" s="18">
        <f>22+18+24</f>
        <v>64</v>
      </c>
      <c r="L597" s="18">
        <v>59</v>
      </c>
      <c r="M597" s="18">
        <v>81</v>
      </c>
      <c r="N597" s="133">
        <f>SUM(B597:M597)</f>
        <v>648</v>
      </c>
      <c r="O597" s="19">
        <f>IF(N597=0,0,AVERAGE(B597:M597))</f>
        <v>54</v>
      </c>
    </row>
    <row r="598" spans="1:15" s="4" customFormat="1" ht="30">
      <c r="A598" s="34" t="s">
        <v>135</v>
      </c>
      <c r="B598" s="18">
        <v>3</v>
      </c>
      <c r="C598" s="18">
        <f>3+2+0</f>
        <v>5</v>
      </c>
      <c r="D598" s="18">
        <f>0+0+1</f>
        <v>1</v>
      </c>
      <c r="E598" s="18">
        <v>6</v>
      </c>
      <c r="F598" s="18">
        <f>0+1+1</f>
        <v>2</v>
      </c>
      <c r="G598" s="18">
        <f>1+2</f>
        <v>3</v>
      </c>
      <c r="H598" s="18">
        <f>0+2</f>
        <v>2</v>
      </c>
      <c r="I598" s="18">
        <f>1+1</f>
        <v>2</v>
      </c>
      <c r="J598" s="81">
        <f>1+2</f>
        <v>3</v>
      </c>
      <c r="K598" s="18">
        <f>2+2</f>
        <v>4</v>
      </c>
      <c r="L598" s="18">
        <v>4</v>
      </c>
      <c r="M598" s="18">
        <v>3</v>
      </c>
      <c r="N598" s="133">
        <f>SUM(B598:M598)</f>
        <v>38</v>
      </c>
      <c r="O598" s="19">
        <f>IF(N598=0,0,AVERAGE(B598:M598))</f>
        <v>3.1666666666666665</v>
      </c>
    </row>
    <row r="599" spans="1:15" s="4" customFormat="1" ht="15.75">
      <c r="A599" s="56" t="s">
        <v>21</v>
      </c>
      <c r="B599" s="21">
        <f t="shared" ref="B599:C599" si="410">SUM(B594:B598)</f>
        <v>2383</v>
      </c>
      <c r="C599" s="21">
        <f t="shared" si="410"/>
        <v>2386</v>
      </c>
      <c r="D599" s="21">
        <f t="shared" ref="D599:E599" si="411">SUM(D594:D598)</f>
        <v>2332</v>
      </c>
      <c r="E599" s="21">
        <f t="shared" si="411"/>
        <v>1242</v>
      </c>
      <c r="F599" s="21">
        <f t="shared" ref="F599:G599" si="412">SUM(F594:F598)</f>
        <v>2118</v>
      </c>
      <c r="G599" s="21">
        <f t="shared" si="412"/>
        <v>1553</v>
      </c>
      <c r="H599" s="21">
        <f t="shared" ref="H599:I599" si="413">SUM(H594:H598)</f>
        <v>1787</v>
      </c>
      <c r="I599" s="21">
        <f t="shared" si="413"/>
        <v>1351</v>
      </c>
      <c r="J599" s="21">
        <f t="shared" ref="J599:K599" si="414">SUM(J594:J598)</f>
        <v>2048</v>
      </c>
      <c r="K599" s="21">
        <f t="shared" si="414"/>
        <v>2112</v>
      </c>
      <c r="L599" s="21">
        <f t="shared" ref="L599:M599" si="415">SUM(L594:L598)</f>
        <v>1401</v>
      </c>
      <c r="M599" s="21">
        <f t="shared" si="415"/>
        <v>1213</v>
      </c>
      <c r="N599" s="128">
        <f>SUM(N594:N598)</f>
        <v>21926</v>
      </c>
      <c r="O599" s="22">
        <f>SUM(O594:O598)</f>
        <v>1827.1666666666667</v>
      </c>
    </row>
    <row r="600" spans="1:15" s="4" customFormat="1" ht="15.75">
      <c r="A600" s="74" t="s">
        <v>112</v>
      </c>
      <c r="B600" s="22">
        <f t="shared" ref="B600:G600" si="416">IF(B599=0,"",B599/B$1676)</f>
        <v>76.870967741935488</v>
      </c>
      <c r="C600" s="22">
        <f t="shared" si="416"/>
        <v>85.214285714285708</v>
      </c>
      <c r="D600" s="22">
        <f t="shared" si="416"/>
        <v>75.225806451612897</v>
      </c>
      <c r="E600" s="22">
        <f t="shared" si="416"/>
        <v>41.4</v>
      </c>
      <c r="F600" s="22">
        <f t="shared" si="416"/>
        <v>68.322580645161295</v>
      </c>
      <c r="G600" s="22">
        <f t="shared" si="416"/>
        <v>51.766666666666666</v>
      </c>
      <c r="H600" s="22">
        <f t="shared" ref="H600:I600" si="417">IF(H599=0,"",H599/H$1676)</f>
        <v>57.645161290322584</v>
      </c>
      <c r="I600" s="22">
        <f t="shared" si="417"/>
        <v>43.58064516129032</v>
      </c>
      <c r="J600" s="22">
        <f t="shared" ref="J600:K600" si="418">IF(J599=0,"",J599/J$1676)</f>
        <v>68.266666666666666</v>
      </c>
      <c r="K600" s="22">
        <f t="shared" si="418"/>
        <v>68.129032258064512</v>
      </c>
      <c r="L600" s="22">
        <f t="shared" ref="L600:M600" si="419">IF(L599=0,"",L599/L$1676)</f>
        <v>46.7</v>
      </c>
      <c r="M600" s="22">
        <f t="shared" si="419"/>
        <v>39.12903225806452</v>
      </c>
      <c r="N600" s="128">
        <f>SUM(B600:M600)</f>
        <v>722.25084485407069</v>
      </c>
      <c r="O600" s="22">
        <f>IF(N600=0,0,AVERAGE(B600:M600))</f>
        <v>60.187570404505891</v>
      </c>
    </row>
    <row r="601" spans="1:15" s="4" customFormat="1" ht="15.75">
      <c r="A601" s="340"/>
      <c r="B601" s="322"/>
      <c r="C601" s="322"/>
      <c r="D601" s="322"/>
      <c r="E601" s="322"/>
      <c r="F601" s="322"/>
      <c r="G601" s="322"/>
      <c r="H601" s="322"/>
      <c r="I601" s="322"/>
      <c r="J601" s="322"/>
      <c r="K601" s="322"/>
      <c r="L601" s="322"/>
      <c r="M601" s="322"/>
      <c r="N601" s="147"/>
      <c r="O601" s="322"/>
    </row>
    <row r="602" spans="1:15" s="4" customFormat="1" ht="15.75">
      <c r="A602" s="60" t="s">
        <v>652</v>
      </c>
      <c r="B602" s="15"/>
      <c r="C602" s="15"/>
      <c r="D602" s="15"/>
      <c r="E602" s="15"/>
      <c r="F602" s="15"/>
      <c r="G602" s="15"/>
      <c r="H602" s="15"/>
      <c r="I602" s="15"/>
      <c r="J602" s="15"/>
      <c r="K602" s="15"/>
      <c r="L602" s="15"/>
      <c r="M602" s="15"/>
      <c r="N602" s="132"/>
      <c r="O602" s="16"/>
    </row>
    <row r="603" spans="1:15" s="4" customFormat="1" ht="15.75">
      <c r="A603" s="37" t="s">
        <v>119</v>
      </c>
      <c r="B603" s="18">
        <v>0</v>
      </c>
      <c r="C603" s="18">
        <v>0</v>
      </c>
      <c r="D603" s="18">
        <v>0</v>
      </c>
      <c r="E603" s="18">
        <v>0</v>
      </c>
      <c r="F603" s="18">
        <v>0</v>
      </c>
      <c r="G603" s="18">
        <v>0</v>
      </c>
      <c r="H603" s="18">
        <v>0</v>
      </c>
      <c r="I603" s="18">
        <v>1</v>
      </c>
      <c r="J603" s="18">
        <v>0</v>
      </c>
      <c r="K603" s="18">
        <f>0+0+0</f>
        <v>0</v>
      </c>
      <c r="L603" s="18">
        <v>0</v>
      </c>
      <c r="M603" s="18">
        <v>0</v>
      </c>
      <c r="N603" s="133">
        <f>SUM(B603:M603)</f>
        <v>1</v>
      </c>
      <c r="O603" s="19">
        <f>IF(N603=0,0,AVERAGE(B603:M603))</f>
        <v>8.3333333333333329E-2</v>
      </c>
    </row>
    <row r="604" spans="1:15" s="4" customFormat="1" ht="15.75">
      <c r="A604" s="37" t="s">
        <v>18</v>
      </c>
      <c r="B604" s="18">
        <f>70+167+602+50+13+337</f>
        <v>1239</v>
      </c>
      <c r="C604" s="18">
        <f>55+157+441+28+16+608</f>
        <v>1305</v>
      </c>
      <c r="D604" s="18">
        <f>55+140+75+176+400+20+4</f>
        <v>870</v>
      </c>
      <c r="E604" s="18">
        <f>170+50+52+5</f>
        <v>277</v>
      </c>
      <c r="F604" s="348">
        <f>600+47+55+24+161</f>
        <v>887</v>
      </c>
      <c r="G604" s="18">
        <f>11+120+25+28</f>
        <v>184</v>
      </c>
      <c r="H604" s="18">
        <f>15+269+676+104</f>
        <v>1064</v>
      </c>
      <c r="I604" s="18">
        <f>479+37+72+381</f>
        <v>969</v>
      </c>
      <c r="J604" s="18">
        <f>57+87+488+52</f>
        <v>684</v>
      </c>
      <c r="K604" s="18">
        <f>41+132+398+104+47+75</f>
        <v>797</v>
      </c>
      <c r="L604" s="18">
        <v>333</v>
      </c>
      <c r="M604" s="18">
        <v>311</v>
      </c>
      <c r="N604" s="133">
        <f>SUM(B604:M604)</f>
        <v>8920</v>
      </c>
      <c r="O604" s="19">
        <f>IF(N604=0,0,AVERAGE(B604:M604))</f>
        <v>743.33333333333337</v>
      </c>
    </row>
    <row r="605" spans="1:15" s="4" customFormat="1" ht="15.75">
      <c r="A605" s="37" t="s">
        <v>19</v>
      </c>
      <c r="B605" s="18">
        <f>592+70+50</f>
        <v>712</v>
      </c>
      <c r="C605" s="18">
        <f>716+94+20</f>
        <v>830</v>
      </c>
      <c r="D605" s="18">
        <f>56+658+62</f>
        <v>776</v>
      </c>
      <c r="E605" s="18">
        <f>12+8+22+74+293+45</f>
        <v>454</v>
      </c>
      <c r="F605" s="18">
        <f>10+656+48</f>
        <v>714</v>
      </c>
      <c r="G605" s="18">
        <f>52+326</f>
        <v>378</v>
      </c>
      <c r="H605" s="18">
        <f>26+90</f>
        <v>116</v>
      </c>
      <c r="I605" s="18">
        <f>24+72</f>
        <v>96</v>
      </c>
      <c r="J605" s="18">
        <f>136+713</f>
        <v>849</v>
      </c>
      <c r="K605" s="18">
        <f>648+99+50</f>
        <v>797</v>
      </c>
      <c r="L605" s="18">
        <v>613</v>
      </c>
      <c r="M605" s="18">
        <v>458</v>
      </c>
      <c r="N605" s="133">
        <f>SUM(B605:M605)</f>
        <v>6793</v>
      </c>
      <c r="O605" s="19">
        <f>IF(N605=0,0,AVERAGE(B605:M605))</f>
        <v>566.08333333333337</v>
      </c>
    </row>
    <row r="606" spans="1:15" s="4" customFormat="1" ht="15.75">
      <c r="A606" s="37" t="s">
        <v>20</v>
      </c>
      <c r="B606" s="18">
        <v>306</v>
      </c>
      <c r="C606" s="18">
        <f>54+48+220</f>
        <v>322</v>
      </c>
      <c r="D606" s="18">
        <f>30+344+58</f>
        <v>432</v>
      </c>
      <c r="E606" s="348">
        <f>12+34+274</f>
        <v>320</v>
      </c>
      <c r="F606" s="18">
        <f>24+267+10</f>
        <v>301</v>
      </c>
      <c r="G606" s="18">
        <f>21+110</f>
        <v>131</v>
      </c>
      <c r="H606" s="18">
        <f>30+120</f>
        <v>150</v>
      </c>
      <c r="I606" s="18">
        <f>15+43</f>
        <v>58</v>
      </c>
      <c r="J606" s="18">
        <f>232+34</f>
        <v>266</v>
      </c>
      <c r="K606" s="18">
        <f>4+30+254</f>
        <v>288</v>
      </c>
      <c r="L606" s="18">
        <v>228</v>
      </c>
      <c r="M606" s="18">
        <v>185</v>
      </c>
      <c r="N606" s="133">
        <f>SUM(B606:M606)</f>
        <v>2987</v>
      </c>
      <c r="O606" s="19">
        <f>IF(N606=0,0,AVERAGE(B606:M606))</f>
        <v>248.91666666666666</v>
      </c>
    </row>
    <row r="607" spans="1:15" s="4" customFormat="1" ht="15.75">
      <c r="A607" s="37" t="s">
        <v>636</v>
      </c>
      <c r="B607" s="18">
        <v>40</v>
      </c>
      <c r="C607" s="18">
        <f>29+4+17</f>
        <v>50</v>
      </c>
      <c r="D607" s="18">
        <f>8+18+29</f>
        <v>55</v>
      </c>
      <c r="E607" s="18">
        <f>3+7+17</f>
        <v>27</v>
      </c>
      <c r="F607" s="18">
        <f>5+24+22</f>
        <v>51</v>
      </c>
      <c r="G607" s="18">
        <f>35+8+1+1</f>
        <v>45</v>
      </c>
      <c r="H607" s="18">
        <f>32+44</f>
        <v>76</v>
      </c>
      <c r="I607" s="18">
        <f>24+37</f>
        <v>61</v>
      </c>
      <c r="J607" s="18">
        <f>25+24</f>
        <v>49</v>
      </c>
      <c r="K607" s="18">
        <v>0</v>
      </c>
      <c r="L607" s="18">
        <v>59</v>
      </c>
      <c r="M607" s="18">
        <v>81</v>
      </c>
      <c r="N607" s="133">
        <f>SUM(B607:M607)</f>
        <v>594</v>
      </c>
      <c r="O607" s="19">
        <f>IF(N607=0,0,AVERAGE(B607:M607))</f>
        <v>49.5</v>
      </c>
    </row>
    <row r="608" spans="1:15" s="4" customFormat="1" ht="15.75">
      <c r="A608" s="56" t="s">
        <v>21</v>
      </c>
      <c r="B608" s="21">
        <f t="shared" ref="B608:C608" si="420">SUM(B604:B607)</f>
        <v>2297</v>
      </c>
      <c r="C608" s="21">
        <f t="shared" si="420"/>
        <v>2507</v>
      </c>
      <c r="D608" s="21">
        <f t="shared" ref="D608:E608" si="421">SUM(D604:D607)</f>
        <v>2133</v>
      </c>
      <c r="E608" s="21">
        <f t="shared" si="421"/>
        <v>1078</v>
      </c>
      <c r="F608" s="21">
        <f t="shared" ref="F608:G608" si="422">SUM(F604:F607)</f>
        <v>1953</v>
      </c>
      <c r="G608" s="21">
        <f t="shared" si="422"/>
        <v>738</v>
      </c>
      <c r="H608" s="21">
        <f t="shared" ref="H608:I608" si="423">SUM(H604:H607)</f>
        <v>1406</v>
      </c>
      <c r="I608" s="21">
        <f t="shared" si="423"/>
        <v>1184</v>
      </c>
      <c r="J608" s="21">
        <f t="shared" ref="J608:K608" si="424">SUM(J604:J607)</f>
        <v>1848</v>
      </c>
      <c r="K608" s="21">
        <f t="shared" si="424"/>
        <v>1882</v>
      </c>
      <c r="L608" s="21">
        <f t="shared" ref="L608:M608" si="425">SUM(L604:L607)</f>
        <v>1233</v>
      </c>
      <c r="M608" s="21">
        <f t="shared" si="425"/>
        <v>1035</v>
      </c>
      <c r="N608" s="128">
        <f>SUM(N604:N606)</f>
        <v>18700</v>
      </c>
      <c r="O608" s="22">
        <f>SUM(O604:O606)</f>
        <v>1558.3333333333335</v>
      </c>
    </row>
    <row r="609" spans="1:15" s="4" customFormat="1" ht="15.75">
      <c r="A609" s="56" t="s">
        <v>112</v>
      </c>
      <c r="B609" s="22">
        <f t="shared" ref="B609:G609" si="426">IF(B608=0,"",B608/B$1676)</f>
        <v>74.096774193548384</v>
      </c>
      <c r="C609" s="22">
        <f t="shared" si="426"/>
        <v>89.535714285714292</v>
      </c>
      <c r="D609" s="22">
        <f t="shared" si="426"/>
        <v>68.806451612903231</v>
      </c>
      <c r="E609" s="22">
        <f t="shared" si="426"/>
        <v>35.93333333333333</v>
      </c>
      <c r="F609" s="22">
        <f t="shared" si="426"/>
        <v>63</v>
      </c>
      <c r="G609" s="22">
        <f t="shared" si="426"/>
        <v>24.6</v>
      </c>
      <c r="H609" s="22">
        <f t="shared" ref="H609:I609" si="427">IF(H608=0,"",H608/H$1676)</f>
        <v>45.354838709677416</v>
      </c>
      <c r="I609" s="22">
        <f t="shared" si="427"/>
        <v>38.193548387096776</v>
      </c>
      <c r="J609" s="22">
        <f t="shared" ref="J609:K609" si="428">IF(J608=0,"",J608/J$1676)</f>
        <v>61.6</v>
      </c>
      <c r="K609" s="22">
        <f t="shared" si="428"/>
        <v>60.70967741935484</v>
      </c>
      <c r="L609" s="22">
        <f t="shared" ref="L609:M609" si="429">IF(L608=0,"",L608/L$1676)</f>
        <v>41.1</v>
      </c>
      <c r="M609" s="22">
        <f t="shared" si="429"/>
        <v>33.387096774193552</v>
      </c>
      <c r="N609" s="128">
        <f>SUM(B609:M609)</f>
        <v>636.31743471582195</v>
      </c>
      <c r="O609" s="22">
        <f>IF(N609=0,0,AVERAGE(B609:M609))</f>
        <v>53.026452892985162</v>
      </c>
    </row>
    <row r="610" spans="1:15" s="4" customFormat="1" ht="15.75">
      <c r="A610" s="87"/>
      <c r="B610" s="88"/>
      <c r="C610" s="88"/>
      <c r="D610" s="88"/>
      <c r="E610" s="88"/>
      <c r="F610" s="89"/>
      <c r="G610" s="89"/>
      <c r="H610" s="89"/>
      <c r="I610" s="89"/>
      <c r="J610" s="89"/>
      <c r="K610" s="89"/>
      <c r="L610" s="89"/>
      <c r="M610" s="89"/>
      <c r="N610" s="149"/>
      <c r="O610" s="13"/>
    </row>
    <row r="611" spans="1:15" s="4" customFormat="1" ht="15.75">
      <c r="A611" s="60" t="s">
        <v>653</v>
      </c>
      <c r="B611" s="15"/>
      <c r="C611" s="15"/>
      <c r="D611" s="15"/>
      <c r="E611" s="15"/>
      <c r="F611" s="15"/>
      <c r="G611" s="15"/>
      <c r="H611" s="15"/>
      <c r="I611" s="15"/>
      <c r="J611" s="15"/>
      <c r="K611" s="15"/>
      <c r="L611" s="15"/>
      <c r="M611" s="15"/>
      <c r="N611" s="132"/>
      <c r="O611" s="16"/>
    </row>
    <row r="612" spans="1:15" s="4" customFormat="1" ht="15.75">
      <c r="A612" s="34" t="s">
        <v>114</v>
      </c>
      <c r="B612" s="18">
        <f>B594</f>
        <v>86</v>
      </c>
      <c r="C612" s="18">
        <f>C594</f>
        <v>164</v>
      </c>
      <c r="D612" s="18">
        <f>D594</f>
        <v>194</v>
      </c>
      <c r="E612" s="18">
        <f>E594</f>
        <v>164</v>
      </c>
      <c r="F612" s="18">
        <f>95+87</f>
        <v>182</v>
      </c>
      <c r="G612" s="18">
        <f>95+87</f>
        <v>182</v>
      </c>
      <c r="H612" s="18">
        <f>H556</f>
        <v>111</v>
      </c>
      <c r="I612" s="18">
        <v>92</v>
      </c>
      <c r="J612" s="18">
        <f>J556</f>
        <v>177</v>
      </c>
      <c r="K612" s="18">
        <f>K556</f>
        <v>161</v>
      </c>
      <c r="L612" s="18">
        <f>L556</f>
        <v>168</v>
      </c>
      <c r="M612" s="18">
        <f>M556</f>
        <v>178</v>
      </c>
      <c r="N612" s="133">
        <f>SUM(B612:M612)</f>
        <v>1859</v>
      </c>
      <c r="O612" s="19">
        <f>IF(N612=0,0,AVERAGE(B612:M612))</f>
        <v>154.91666666666666</v>
      </c>
    </row>
    <row r="613" spans="1:15" s="4" customFormat="1" ht="15.75">
      <c r="A613" s="56" t="s">
        <v>21</v>
      </c>
      <c r="B613" s="21">
        <f t="shared" ref="B613:C613" si="430">SUM(B612)</f>
        <v>86</v>
      </c>
      <c r="C613" s="21">
        <f t="shared" si="430"/>
        <v>164</v>
      </c>
      <c r="D613" s="21">
        <f t="shared" ref="D613:E613" si="431">SUM(D612)</f>
        <v>194</v>
      </c>
      <c r="E613" s="21">
        <f t="shared" si="431"/>
        <v>164</v>
      </c>
      <c r="F613" s="21">
        <f t="shared" ref="F613:G613" si="432">SUM(F612)</f>
        <v>182</v>
      </c>
      <c r="G613" s="21">
        <f t="shared" si="432"/>
        <v>182</v>
      </c>
      <c r="H613" s="21">
        <f t="shared" ref="H613:I613" si="433">SUM(H612)</f>
        <v>111</v>
      </c>
      <c r="I613" s="21">
        <f t="shared" si="433"/>
        <v>92</v>
      </c>
      <c r="J613" s="21">
        <f t="shared" ref="J613" si="434">SUM(J612)</f>
        <v>177</v>
      </c>
      <c r="K613" s="21">
        <f t="shared" ref="K613:L613" si="435">SUM(K612)</f>
        <v>161</v>
      </c>
      <c r="L613" s="21">
        <f t="shared" si="435"/>
        <v>168</v>
      </c>
      <c r="M613" s="21">
        <f t="shared" ref="M613" si="436">SUM(M612)</f>
        <v>178</v>
      </c>
      <c r="N613" s="128">
        <f>SUM(N612)</f>
        <v>1859</v>
      </c>
      <c r="O613" s="22">
        <f>SUM(O612)</f>
        <v>154.91666666666666</v>
      </c>
    </row>
    <row r="614" spans="1:15" s="4" customFormat="1" ht="15.75">
      <c r="A614" s="56" t="s">
        <v>112</v>
      </c>
      <c r="B614" s="22">
        <f t="shared" ref="B614:G614" si="437">IF(B613=0,"",B613/B$1676)</f>
        <v>2.774193548387097</v>
      </c>
      <c r="C614" s="22">
        <f t="shared" si="437"/>
        <v>5.8571428571428568</v>
      </c>
      <c r="D614" s="22">
        <f t="shared" si="437"/>
        <v>6.258064516129032</v>
      </c>
      <c r="E614" s="22">
        <f t="shared" si="437"/>
        <v>5.4666666666666668</v>
      </c>
      <c r="F614" s="22">
        <f t="shared" si="437"/>
        <v>5.870967741935484</v>
      </c>
      <c r="G614" s="22">
        <f t="shared" si="437"/>
        <v>6.0666666666666664</v>
      </c>
      <c r="H614" s="22">
        <f t="shared" ref="H614:I614" si="438">IF(H613=0,"",H613/H$1676)</f>
        <v>3.5806451612903225</v>
      </c>
      <c r="I614" s="22">
        <f t="shared" si="438"/>
        <v>2.967741935483871</v>
      </c>
      <c r="J614" s="22">
        <f t="shared" ref="J614" si="439">IF(J613=0,"",J613/J$1676)</f>
        <v>5.9</v>
      </c>
      <c r="K614" s="22">
        <f t="shared" ref="K614:L614" si="440">IF(K613=0,"",K613/K$1676)</f>
        <v>5.193548387096774</v>
      </c>
      <c r="L614" s="22">
        <f t="shared" si="440"/>
        <v>5.6</v>
      </c>
      <c r="M614" s="22">
        <f t="shared" ref="M614" si="441">IF(M613=0,"",M613/M$1676)</f>
        <v>5.741935483870968</v>
      </c>
      <c r="N614" s="128">
        <f>SUM(B614:M614)</f>
        <v>61.277572964669737</v>
      </c>
      <c r="O614" s="22">
        <f>IF(N614=0,0,AVERAGE(B614:M614))</f>
        <v>5.1064644137224784</v>
      </c>
    </row>
    <row r="615" spans="1:15" s="4" customFormat="1" ht="14.25"/>
    <row r="616" spans="1:15" s="4" customFormat="1" ht="15.75">
      <c r="A616" s="90" t="s">
        <v>637</v>
      </c>
      <c r="B616" s="86">
        <f t="shared" ref="B616:C616" si="442">B608</f>
        <v>2297</v>
      </c>
      <c r="C616" s="86">
        <f t="shared" si="442"/>
        <v>2507</v>
      </c>
      <c r="D616" s="86">
        <f t="shared" ref="D616:E616" si="443">D608</f>
        <v>2133</v>
      </c>
      <c r="E616" s="86">
        <f t="shared" si="443"/>
        <v>1078</v>
      </c>
      <c r="F616" s="86">
        <f t="shared" ref="F616:G616" si="444">F608</f>
        <v>1953</v>
      </c>
      <c r="G616" s="86">
        <f t="shared" si="444"/>
        <v>738</v>
      </c>
      <c r="H616" s="86">
        <f t="shared" ref="H616:I616" si="445">H608</f>
        <v>1406</v>
      </c>
      <c r="I616" s="86">
        <f t="shared" si="445"/>
        <v>1184</v>
      </c>
      <c r="J616" s="86">
        <f t="shared" ref="J616:K616" si="446">J608</f>
        <v>1848</v>
      </c>
      <c r="K616" s="86">
        <f t="shared" si="446"/>
        <v>1882</v>
      </c>
      <c r="L616" s="86">
        <f t="shared" ref="L616:M616" si="447">L608</f>
        <v>1233</v>
      </c>
      <c r="M616" s="86">
        <f t="shared" si="447"/>
        <v>1035</v>
      </c>
      <c r="N616" s="133">
        <f>SUM(B616:M616)</f>
        <v>19294</v>
      </c>
      <c r="O616" s="19">
        <f>IF(N616=0,0,AVERAGE(B616:M616))</f>
        <v>1607.8333333333333</v>
      </c>
    </row>
    <row r="617" spans="1:15" s="4" customFormat="1" ht="15.75">
      <c r="A617" s="90" t="s">
        <v>638</v>
      </c>
      <c r="B617" s="86">
        <f t="shared" ref="B617:C617" si="448">B613</f>
        <v>86</v>
      </c>
      <c r="C617" s="86">
        <f t="shared" si="448"/>
        <v>164</v>
      </c>
      <c r="D617" s="86">
        <f t="shared" ref="D617:E617" si="449">D613</f>
        <v>194</v>
      </c>
      <c r="E617" s="86">
        <f t="shared" si="449"/>
        <v>164</v>
      </c>
      <c r="F617" s="86">
        <f t="shared" ref="F617:G617" si="450">F613</f>
        <v>182</v>
      </c>
      <c r="G617" s="86">
        <f t="shared" si="450"/>
        <v>182</v>
      </c>
      <c r="H617" s="86">
        <f t="shared" ref="H617:I617" si="451">H613</f>
        <v>111</v>
      </c>
      <c r="I617" s="86">
        <f t="shared" si="451"/>
        <v>92</v>
      </c>
      <c r="J617" s="86">
        <f t="shared" ref="J617:K617" si="452">J613</f>
        <v>177</v>
      </c>
      <c r="K617" s="86">
        <f t="shared" si="452"/>
        <v>161</v>
      </c>
      <c r="L617" s="86">
        <f t="shared" ref="L617:M617" si="453">L613</f>
        <v>168</v>
      </c>
      <c r="M617" s="86">
        <f t="shared" si="453"/>
        <v>178</v>
      </c>
      <c r="N617" s="133">
        <f>SUM(B617:M617)</f>
        <v>1859</v>
      </c>
      <c r="O617" s="19">
        <f>IF(N617=0,0,AVERAGE(B617:M617))</f>
        <v>154.91666666666666</v>
      </c>
    </row>
    <row r="618" spans="1:15" s="4" customFormat="1" ht="15.75">
      <c r="A618" s="240" t="s">
        <v>639</v>
      </c>
      <c r="B618" s="333">
        <f t="shared" ref="B618:C618" si="454">SUM(B616:B617)</f>
        <v>2383</v>
      </c>
      <c r="C618" s="333">
        <f t="shared" si="454"/>
        <v>2671</v>
      </c>
      <c r="D618" s="333">
        <f t="shared" ref="D618:E618" si="455">SUM(D616:D617)</f>
        <v>2327</v>
      </c>
      <c r="E618" s="333">
        <f t="shared" si="455"/>
        <v>1242</v>
      </c>
      <c r="F618" s="333">
        <f t="shared" ref="F618:G618" si="456">SUM(F616:F617)</f>
        <v>2135</v>
      </c>
      <c r="G618" s="333">
        <f t="shared" si="456"/>
        <v>920</v>
      </c>
      <c r="H618" s="333">
        <f t="shared" ref="H618:I618" si="457">SUM(H616:H617)</f>
        <v>1517</v>
      </c>
      <c r="I618" s="333">
        <f t="shared" si="457"/>
        <v>1276</v>
      </c>
      <c r="J618" s="333">
        <f t="shared" ref="J618:K618" si="458">SUM(J616:J617)</f>
        <v>2025</v>
      </c>
      <c r="K618" s="333">
        <f t="shared" si="458"/>
        <v>2043</v>
      </c>
      <c r="L618" s="333">
        <f t="shared" ref="L618:M618" si="459">SUM(L616:L617)</f>
        <v>1401</v>
      </c>
      <c r="M618" s="333">
        <f t="shared" si="459"/>
        <v>1213</v>
      </c>
      <c r="N618" s="334">
        <f>SUM(N616:N617)</f>
        <v>21153</v>
      </c>
      <c r="O618" s="335">
        <f>SUM(O616:O617)</f>
        <v>1762.75</v>
      </c>
    </row>
    <row r="619" spans="1:15" s="4" customFormat="1" ht="15.75">
      <c r="A619" s="340"/>
      <c r="B619" s="322"/>
      <c r="C619" s="322"/>
      <c r="D619" s="322"/>
      <c r="E619" s="322"/>
      <c r="F619" s="322"/>
      <c r="G619" s="322"/>
      <c r="H619" s="322"/>
      <c r="I619" s="322"/>
      <c r="J619" s="322"/>
      <c r="K619" s="322"/>
      <c r="L619" s="322"/>
      <c r="M619" s="322"/>
      <c r="N619" s="147"/>
      <c r="O619" s="322"/>
    </row>
    <row r="620" spans="1:15" s="4" customFormat="1" ht="15.75">
      <c r="A620" s="14" t="s">
        <v>654</v>
      </c>
      <c r="B620" s="15"/>
      <c r="C620" s="15"/>
      <c r="D620" s="15"/>
      <c r="E620" s="15"/>
      <c r="F620" s="15"/>
      <c r="G620" s="15"/>
      <c r="H620" s="15"/>
      <c r="I620" s="15"/>
      <c r="J620" s="15"/>
      <c r="K620" s="15"/>
      <c r="L620" s="15"/>
      <c r="M620" s="15"/>
      <c r="N620" s="132"/>
      <c r="O620" s="16"/>
    </row>
    <row r="621" spans="1:15" s="4" customFormat="1" ht="15.75">
      <c r="A621" s="212" t="s">
        <v>312</v>
      </c>
      <c r="B621" s="81">
        <f t="shared" ref="B621:G621" si="460">B557</f>
        <v>272</v>
      </c>
      <c r="C621" s="81">
        <f t="shared" si="460"/>
        <v>336</v>
      </c>
      <c r="D621" s="81">
        <f t="shared" si="460"/>
        <v>356</v>
      </c>
      <c r="E621" s="81">
        <f t="shared" si="460"/>
        <v>332</v>
      </c>
      <c r="F621" s="81">
        <f t="shared" si="460"/>
        <v>357</v>
      </c>
      <c r="G621" s="81">
        <f t="shared" si="460"/>
        <v>375</v>
      </c>
      <c r="H621" s="81">
        <f t="shared" ref="H621:I621" si="461">H557</f>
        <v>425</v>
      </c>
      <c r="I621" s="81">
        <f t="shared" si="461"/>
        <v>406</v>
      </c>
      <c r="J621" s="81">
        <f t="shared" ref="J621:L621" si="462">J557</f>
        <v>357</v>
      </c>
      <c r="K621" s="81">
        <f t="shared" si="462"/>
        <v>379</v>
      </c>
      <c r="L621" s="81">
        <f t="shared" si="462"/>
        <v>369</v>
      </c>
      <c r="M621" s="81">
        <f t="shared" ref="M621" si="463">M557</f>
        <v>393</v>
      </c>
      <c r="N621" s="213">
        <f>SUM(B621:M621)</f>
        <v>4357</v>
      </c>
      <c r="O621" s="214">
        <f>IF(N621=0,0,AVERAGE(B621:M621))</f>
        <v>363.08333333333331</v>
      </c>
    </row>
    <row r="622" spans="1:15" s="4" customFormat="1" ht="15.75">
      <c r="A622" s="212" t="s">
        <v>136</v>
      </c>
      <c r="B622" s="81">
        <v>675</v>
      </c>
      <c r="C622" s="81">
        <v>798</v>
      </c>
      <c r="D622" s="81">
        <v>534</v>
      </c>
      <c r="E622" s="81">
        <v>607</v>
      </c>
      <c r="F622" s="81">
        <v>709</v>
      </c>
      <c r="G622" s="81">
        <v>709</v>
      </c>
      <c r="H622" s="81">
        <v>730</v>
      </c>
      <c r="I622" s="81">
        <v>944</v>
      </c>
      <c r="J622" s="81">
        <v>1203</v>
      </c>
      <c r="K622" s="81">
        <v>876</v>
      </c>
      <c r="L622" s="81">
        <v>981</v>
      </c>
      <c r="M622" s="81">
        <v>704</v>
      </c>
      <c r="N622" s="213">
        <f>SUM(B622:M622)</f>
        <v>9470</v>
      </c>
      <c r="O622" s="214">
        <f>IF(N622=0,0,AVERAGE(B622:M622))</f>
        <v>789.16666666666663</v>
      </c>
    </row>
    <row r="623" spans="1:15" s="4" customFormat="1" ht="15.75">
      <c r="A623" s="56" t="s">
        <v>21</v>
      </c>
      <c r="B623" s="21">
        <f t="shared" ref="B623:C623" si="464">SUM(B621:B622)</f>
        <v>947</v>
      </c>
      <c r="C623" s="21">
        <f t="shared" si="464"/>
        <v>1134</v>
      </c>
      <c r="D623" s="21">
        <f t="shared" ref="D623:E623" si="465">SUM(D621:D622)</f>
        <v>890</v>
      </c>
      <c r="E623" s="21">
        <f t="shared" si="465"/>
        <v>939</v>
      </c>
      <c r="F623" s="21">
        <f t="shared" ref="F623:G623" si="466">SUM(F621:F622)</f>
        <v>1066</v>
      </c>
      <c r="G623" s="21">
        <f t="shared" si="466"/>
        <v>1084</v>
      </c>
      <c r="H623" s="21">
        <f t="shared" ref="H623:I623" si="467">SUM(H621:H622)</f>
        <v>1155</v>
      </c>
      <c r="I623" s="21">
        <f t="shared" si="467"/>
        <v>1350</v>
      </c>
      <c r="J623" s="21">
        <f t="shared" ref="J623:K623" si="468">SUM(J621:J622)</f>
        <v>1560</v>
      </c>
      <c r="K623" s="21">
        <f t="shared" si="468"/>
        <v>1255</v>
      </c>
      <c r="L623" s="21">
        <f t="shared" ref="L623:M623" si="469">SUM(L621:L622)</f>
        <v>1350</v>
      </c>
      <c r="M623" s="21">
        <f t="shared" si="469"/>
        <v>1097</v>
      </c>
      <c r="N623" s="128">
        <f>SUM(N621:N622)</f>
        <v>13827</v>
      </c>
      <c r="O623" s="22">
        <f>SUM(O621:O622)</f>
        <v>1152.25</v>
      </c>
    </row>
    <row r="624" spans="1:15" s="4" customFormat="1" ht="15.75">
      <c r="A624" s="74" t="s">
        <v>112</v>
      </c>
      <c r="B624" s="22">
        <f t="shared" ref="B624:G624" si="470">IF(B623=0,"",B623/B$1676)</f>
        <v>30.548387096774192</v>
      </c>
      <c r="C624" s="22">
        <f t="shared" si="470"/>
        <v>40.5</v>
      </c>
      <c r="D624" s="22">
        <f t="shared" si="470"/>
        <v>28.70967741935484</v>
      </c>
      <c r="E624" s="22">
        <f t="shared" si="470"/>
        <v>31.3</v>
      </c>
      <c r="F624" s="22">
        <f t="shared" si="470"/>
        <v>34.387096774193552</v>
      </c>
      <c r="G624" s="22">
        <f t="shared" si="470"/>
        <v>36.133333333333333</v>
      </c>
      <c r="H624" s="22">
        <f t="shared" ref="H624:I624" si="471">IF(H623=0,"",H623/H$1676)</f>
        <v>37.258064516129032</v>
      </c>
      <c r="I624" s="22">
        <f t="shared" si="471"/>
        <v>43.548387096774192</v>
      </c>
      <c r="J624" s="22">
        <f t="shared" ref="J624:K624" si="472">IF(J623=0,"",J623/J$1676)</f>
        <v>52</v>
      </c>
      <c r="K624" s="22">
        <f t="shared" si="472"/>
        <v>40.483870967741936</v>
      </c>
      <c r="L624" s="22">
        <f t="shared" ref="L624:M624" si="473">IF(L623=0,"",L623/L$1676)</f>
        <v>45</v>
      </c>
      <c r="M624" s="22">
        <f t="shared" si="473"/>
        <v>35.387096774193552</v>
      </c>
      <c r="N624" s="128">
        <f>SUM(B624:M624)</f>
        <v>455.25591397849462</v>
      </c>
      <c r="O624" s="22">
        <f>IF(N624=0,0,AVERAGE(B624:M624))</f>
        <v>37.937992831541216</v>
      </c>
    </row>
    <row r="625" spans="1:26" s="4" customFormat="1" ht="15.75">
      <c r="A625" s="340"/>
      <c r="B625" s="322"/>
      <c r="C625" s="322"/>
      <c r="D625" s="322"/>
      <c r="E625" s="322"/>
      <c r="F625" s="322"/>
      <c r="G625" s="322"/>
      <c r="H625" s="322"/>
      <c r="I625" s="322"/>
      <c r="J625" s="322"/>
      <c r="K625" s="322"/>
      <c r="L625" s="322"/>
      <c r="M625" s="322"/>
      <c r="N625" s="147"/>
      <c r="O625" s="322"/>
    </row>
    <row r="626" spans="1:26" s="4" customFormat="1" ht="15.75">
      <c r="A626" s="60" t="s">
        <v>655</v>
      </c>
      <c r="B626" s="15"/>
      <c r="C626" s="15"/>
      <c r="D626" s="15"/>
      <c r="E626" s="15"/>
      <c r="F626" s="15"/>
      <c r="G626" s="15"/>
      <c r="H626" s="15"/>
      <c r="I626" s="15"/>
      <c r="J626" s="15"/>
      <c r="K626" s="15"/>
      <c r="L626" s="15"/>
      <c r="M626" s="15"/>
      <c r="N626" s="132"/>
      <c r="O626" s="16"/>
    </row>
    <row r="627" spans="1:26" s="9" customFormat="1" ht="15.75">
      <c r="A627" s="37" t="s">
        <v>18</v>
      </c>
      <c r="B627" s="18">
        <f>158+164</f>
        <v>322</v>
      </c>
      <c r="C627" s="18">
        <f>168+232</f>
        <v>400</v>
      </c>
      <c r="D627" s="18">
        <f>58+49</f>
        <v>107</v>
      </c>
      <c r="E627" s="18">
        <v>0</v>
      </c>
      <c r="F627" s="18">
        <f>150+179</f>
        <v>329</v>
      </c>
      <c r="G627" s="18">
        <f>193+206</f>
        <v>399</v>
      </c>
      <c r="H627" s="18">
        <f>164+126</f>
        <v>290</v>
      </c>
      <c r="I627" s="18">
        <f>207+224</f>
        <v>431</v>
      </c>
      <c r="J627" s="18">
        <f>285+264</f>
        <v>549</v>
      </c>
      <c r="K627" s="18">
        <f>194+263</f>
        <v>457</v>
      </c>
      <c r="L627" s="18">
        <f>246+258</f>
        <v>504</v>
      </c>
      <c r="M627" s="18">
        <f>117+156</f>
        <v>273</v>
      </c>
      <c r="N627" s="133">
        <f>SUM(B627:M627)</f>
        <v>4061</v>
      </c>
      <c r="O627" s="19">
        <f>IF(N627=0,0,AVERAGE(B627:M627))</f>
        <v>338.41666666666669</v>
      </c>
      <c r="P627" s="8"/>
      <c r="Q627" s="8"/>
      <c r="R627" s="8"/>
      <c r="S627" s="8"/>
      <c r="T627" s="8"/>
      <c r="U627" s="8"/>
      <c r="V627" s="8"/>
      <c r="W627" s="8"/>
      <c r="X627" s="8"/>
      <c r="Y627" s="8"/>
      <c r="Z627" s="8"/>
    </row>
    <row r="628" spans="1:26" s="9" customFormat="1" ht="15.75">
      <c r="A628" s="37" t="s">
        <v>19</v>
      </c>
      <c r="B628" s="18">
        <v>201</v>
      </c>
      <c r="C628" s="18">
        <v>254</v>
      </c>
      <c r="D628" s="18">
        <v>193</v>
      </c>
      <c r="E628" s="18">
        <f>99+91+192</f>
        <v>382</v>
      </c>
      <c r="F628" s="18">
        <v>210</v>
      </c>
      <c r="G628" s="18">
        <v>288</v>
      </c>
      <c r="H628" s="18">
        <v>291</v>
      </c>
      <c r="I628" s="18">
        <v>326</v>
      </c>
      <c r="J628" s="18">
        <v>487</v>
      </c>
      <c r="K628" s="18">
        <f>205</f>
        <v>205</v>
      </c>
      <c r="L628" s="18">
        <v>266</v>
      </c>
      <c r="M628" s="18">
        <v>203</v>
      </c>
      <c r="N628" s="133">
        <f>SUM(B628:M628)</f>
        <v>3306</v>
      </c>
      <c r="O628" s="19">
        <f>IF(N628=0,0,AVERAGE(B628:M628))</f>
        <v>275.5</v>
      </c>
      <c r="P628" s="8"/>
      <c r="Q628" s="8"/>
      <c r="R628" s="8"/>
      <c r="S628" s="8"/>
      <c r="T628" s="8"/>
      <c r="U628" s="8"/>
      <c r="V628" s="8"/>
      <c r="W628" s="8"/>
      <c r="X628" s="8"/>
      <c r="Y628" s="8"/>
      <c r="Z628" s="8"/>
    </row>
    <row r="629" spans="1:26" s="9" customFormat="1" ht="15.75">
      <c r="A629" s="37" t="s">
        <v>20</v>
      </c>
      <c r="B629" s="18">
        <v>152</v>
      </c>
      <c r="C629" s="18">
        <v>144</v>
      </c>
      <c r="D629" s="18">
        <v>234</v>
      </c>
      <c r="E629" s="18">
        <v>225</v>
      </c>
      <c r="F629" s="18">
        <v>170</v>
      </c>
      <c r="G629" s="18">
        <v>170</v>
      </c>
      <c r="H629" s="18">
        <v>149</v>
      </c>
      <c r="I629" s="18">
        <v>187</v>
      </c>
      <c r="J629" s="18">
        <v>167</v>
      </c>
      <c r="K629" s="18">
        <v>214</v>
      </c>
      <c r="L629" s="18">
        <v>211</v>
      </c>
      <c r="M629" s="18">
        <v>228</v>
      </c>
      <c r="N629" s="133">
        <f>SUM(B629:M629)</f>
        <v>2251</v>
      </c>
      <c r="O629" s="19">
        <f>IF(N629=0,0,AVERAGE(B629:M629))</f>
        <v>187.58333333333334</v>
      </c>
      <c r="P629" s="8"/>
      <c r="Q629" s="8"/>
      <c r="R629" s="8"/>
      <c r="S629" s="8"/>
      <c r="T629" s="8"/>
      <c r="U629" s="8"/>
      <c r="V629" s="8"/>
      <c r="W629" s="8"/>
      <c r="X629" s="8"/>
      <c r="Y629" s="8"/>
      <c r="Z629" s="8"/>
    </row>
    <row r="630" spans="1:26" s="9" customFormat="1" ht="15.75">
      <c r="A630" s="56" t="s">
        <v>21</v>
      </c>
      <c r="B630" s="21">
        <f t="shared" ref="B630:C630" si="474">SUM(B627:B629)</f>
        <v>675</v>
      </c>
      <c r="C630" s="21">
        <f t="shared" si="474"/>
        <v>798</v>
      </c>
      <c r="D630" s="21">
        <f t="shared" ref="D630:E630" si="475">SUM(D627:D629)</f>
        <v>534</v>
      </c>
      <c r="E630" s="21">
        <f t="shared" si="475"/>
        <v>607</v>
      </c>
      <c r="F630" s="21">
        <f t="shared" ref="F630:G630" si="476">SUM(F627:F629)</f>
        <v>709</v>
      </c>
      <c r="G630" s="21">
        <f t="shared" si="476"/>
        <v>857</v>
      </c>
      <c r="H630" s="21">
        <f t="shared" ref="H630:I630" si="477">SUM(H627:H629)</f>
        <v>730</v>
      </c>
      <c r="I630" s="21">
        <f t="shared" si="477"/>
        <v>944</v>
      </c>
      <c r="J630" s="21">
        <f t="shared" ref="J630" si="478">SUM(J627:J629)</f>
        <v>1203</v>
      </c>
      <c r="K630" s="21">
        <f t="shared" ref="K630:L630" si="479">SUM(K627:K629)</f>
        <v>876</v>
      </c>
      <c r="L630" s="21">
        <f t="shared" si="479"/>
        <v>981</v>
      </c>
      <c r="M630" s="21">
        <f t="shared" ref="M630" si="480">SUM(M627:M629)</f>
        <v>704</v>
      </c>
      <c r="N630" s="128">
        <f>SUM(N627:N629)</f>
        <v>9618</v>
      </c>
      <c r="O630" s="22">
        <f>SUM(O627:O629)</f>
        <v>801.50000000000011</v>
      </c>
      <c r="P630" s="8"/>
      <c r="Q630" s="8"/>
      <c r="R630" s="8"/>
      <c r="S630" s="8"/>
      <c r="T630" s="8"/>
      <c r="U630" s="8"/>
      <c r="V630" s="8"/>
      <c r="W630" s="8"/>
      <c r="X630" s="8"/>
      <c r="Y630" s="8"/>
      <c r="Z630" s="8"/>
    </row>
    <row r="631" spans="1:26" s="9" customFormat="1" ht="15.75">
      <c r="A631" s="56" t="s">
        <v>112</v>
      </c>
      <c r="B631" s="22">
        <f t="shared" ref="B631:G631" si="481">IF(B630=0,"",B630/B$1676)</f>
        <v>21.774193548387096</v>
      </c>
      <c r="C631" s="22">
        <f t="shared" si="481"/>
        <v>28.5</v>
      </c>
      <c r="D631" s="22">
        <f t="shared" si="481"/>
        <v>17.225806451612904</v>
      </c>
      <c r="E631" s="22">
        <f t="shared" si="481"/>
        <v>20.233333333333334</v>
      </c>
      <c r="F631" s="22">
        <f t="shared" si="481"/>
        <v>22.870967741935484</v>
      </c>
      <c r="G631" s="22">
        <f t="shared" si="481"/>
        <v>28.566666666666666</v>
      </c>
      <c r="H631" s="22">
        <f t="shared" ref="H631:I631" si="482">IF(H630=0,"",H630/H$1676)</f>
        <v>23.548387096774192</v>
      </c>
      <c r="I631" s="22">
        <f t="shared" si="482"/>
        <v>30.451612903225808</v>
      </c>
      <c r="J631" s="22">
        <f t="shared" ref="J631" si="483">IF(J630=0,"",J630/J$1676)</f>
        <v>40.1</v>
      </c>
      <c r="K631" s="22">
        <f t="shared" ref="K631:L631" si="484">IF(K630=0,"",K630/K$1676)</f>
        <v>28.258064516129032</v>
      </c>
      <c r="L631" s="22">
        <f t="shared" si="484"/>
        <v>32.700000000000003</v>
      </c>
      <c r="M631" s="22">
        <f t="shared" ref="M631" si="485">IF(M630=0,"",M630/M$1676)</f>
        <v>22.70967741935484</v>
      </c>
      <c r="N631" s="128">
        <f>SUM(B631:M631)</f>
        <v>316.93870967741935</v>
      </c>
      <c r="O631" s="22">
        <f>IF(N631=0,0,AVERAGE(B631:M631))</f>
        <v>26.411559139784945</v>
      </c>
      <c r="P631" s="8"/>
      <c r="Q631" s="8"/>
      <c r="R631" s="8"/>
      <c r="S631" s="8"/>
      <c r="T631" s="8"/>
      <c r="U631" s="8"/>
      <c r="V631" s="8"/>
      <c r="W631" s="8"/>
      <c r="X631" s="8"/>
      <c r="Y631" s="8"/>
      <c r="Z631" s="8"/>
    </row>
    <row r="632" spans="1:26" s="9" customFormat="1" ht="15.75">
      <c r="A632" s="87"/>
      <c r="B632" s="88"/>
      <c r="C632" s="88"/>
      <c r="D632" s="88"/>
      <c r="E632" s="88"/>
      <c r="F632" s="89"/>
      <c r="G632" s="89"/>
      <c r="H632" s="89"/>
      <c r="I632" s="89"/>
      <c r="J632" s="89"/>
      <c r="K632" s="89"/>
      <c r="L632" s="89"/>
      <c r="M632" s="89"/>
      <c r="N632" s="149"/>
      <c r="O632" s="13"/>
      <c r="P632" s="8"/>
      <c r="Q632" s="8"/>
      <c r="R632" s="8"/>
      <c r="S632" s="8"/>
      <c r="T632" s="8"/>
      <c r="U632" s="8"/>
      <c r="V632" s="8"/>
      <c r="W632" s="8"/>
      <c r="X632" s="8"/>
      <c r="Y632" s="8"/>
      <c r="Z632" s="8"/>
    </row>
    <row r="633" spans="1:26" s="9" customFormat="1" ht="15.75">
      <c r="A633" s="60" t="s">
        <v>656</v>
      </c>
      <c r="B633" s="15"/>
      <c r="C633" s="15"/>
      <c r="D633" s="15"/>
      <c r="E633" s="15"/>
      <c r="F633" s="15"/>
      <c r="G633" s="15"/>
      <c r="H633" s="15"/>
      <c r="I633" s="15"/>
      <c r="J633" s="15"/>
      <c r="K633" s="15"/>
      <c r="L633" s="15"/>
      <c r="M633" s="15"/>
      <c r="N633" s="132"/>
      <c r="O633" s="16"/>
      <c r="P633" s="8"/>
      <c r="Q633" s="8"/>
      <c r="R633" s="8"/>
      <c r="S633" s="8"/>
      <c r="T633" s="8"/>
      <c r="U633" s="8"/>
      <c r="V633" s="8"/>
      <c r="W633" s="8"/>
      <c r="X633" s="8"/>
      <c r="Y633" s="8"/>
      <c r="Z633" s="8"/>
    </row>
    <row r="634" spans="1:26" s="9" customFormat="1" ht="15.75">
      <c r="A634" s="34" t="s">
        <v>114</v>
      </c>
      <c r="B634" s="18">
        <f t="shared" ref="B634:D634" si="486">B621</f>
        <v>272</v>
      </c>
      <c r="C634" s="18">
        <f t="shared" si="486"/>
        <v>336</v>
      </c>
      <c r="D634" s="18">
        <f t="shared" si="486"/>
        <v>356</v>
      </c>
      <c r="E634" s="18">
        <f t="shared" ref="E634:F634" si="487">E621</f>
        <v>332</v>
      </c>
      <c r="F634" s="18">
        <f t="shared" si="487"/>
        <v>357</v>
      </c>
      <c r="G634" s="18">
        <f t="shared" ref="G634:I634" si="488">G621</f>
        <v>375</v>
      </c>
      <c r="H634" s="18">
        <f t="shared" si="488"/>
        <v>425</v>
      </c>
      <c r="I634" s="18">
        <f t="shared" si="488"/>
        <v>406</v>
      </c>
      <c r="J634" s="18">
        <f t="shared" ref="J634:L634" si="489">J621</f>
        <v>357</v>
      </c>
      <c r="K634" s="18">
        <f t="shared" si="489"/>
        <v>379</v>
      </c>
      <c r="L634" s="18">
        <f t="shared" si="489"/>
        <v>369</v>
      </c>
      <c r="M634" s="18">
        <f t="shared" ref="M634" si="490">M621</f>
        <v>393</v>
      </c>
      <c r="N634" s="133">
        <f>SUM(B634:M634)</f>
        <v>4357</v>
      </c>
      <c r="O634" s="19">
        <f>IF(N634=0,0,AVERAGE(B634:M634))</f>
        <v>363.08333333333331</v>
      </c>
      <c r="P634" s="8"/>
      <c r="Q634" s="8"/>
      <c r="R634" s="8"/>
      <c r="S634" s="8"/>
      <c r="T634" s="8"/>
      <c r="U634" s="8"/>
      <c r="V634" s="8"/>
      <c r="W634" s="8"/>
      <c r="X634" s="8"/>
      <c r="Y634" s="8"/>
      <c r="Z634" s="8"/>
    </row>
    <row r="635" spans="1:26" s="9" customFormat="1" ht="15.75">
      <c r="A635" s="56" t="s">
        <v>21</v>
      </c>
      <c r="B635" s="21">
        <f t="shared" ref="B635:C635" si="491">SUM(B634)</f>
        <v>272</v>
      </c>
      <c r="C635" s="21">
        <f t="shared" si="491"/>
        <v>336</v>
      </c>
      <c r="D635" s="21">
        <f t="shared" ref="D635:E635" si="492">SUM(D634)</f>
        <v>356</v>
      </c>
      <c r="E635" s="21">
        <f t="shared" si="492"/>
        <v>332</v>
      </c>
      <c r="F635" s="21">
        <f t="shared" ref="F635:G635" si="493">SUM(F634)</f>
        <v>357</v>
      </c>
      <c r="G635" s="21">
        <f t="shared" si="493"/>
        <v>375</v>
      </c>
      <c r="H635" s="21">
        <f t="shared" ref="H635:I635" si="494">SUM(H634)</f>
        <v>425</v>
      </c>
      <c r="I635" s="21">
        <f t="shared" si="494"/>
        <v>406</v>
      </c>
      <c r="J635" s="21">
        <f t="shared" ref="J635:K635" si="495">SUM(J634)</f>
        <v>357</v>
      </c>
      <c r="K635" s="21">
        <f t="shared" si="495"/>
        <v>379</v>
      </c>
      <c r="L635" s="21">
        <f t="shared" ref="L635:M635" si="496">SUM(L634)</f>
        <v>369</v>
      </c>
      <c r="M635" s="21">
        <f t="shared" si="496"/>
        <v>393</v>
      </c>
      <c r="N635" s="128">
        <f>SUM(N634)</f>
        <v>4357</v>
      </c>
      <c r="O635" s="22">
        <f>SUM(O634)</f>
        <v>363.08333333333331</v>
      </c>
      <c r="P635" s="8"/>
      <c r="Q635" s="8"/>
      <c r="R635" s="8"/>
      <c r="S635" s="8"/>
      <c r="T635" s="8"/>
      <c r="U635" s="8"/>
      <c r="V635" s="8"/>
      <c r="W635" s="8"/>
      <c r="X635" s="8"/>
      <c r="Y635" s="8"/>
      <c r="Z635" s="8"/>
    </row>
    <row r="636" spans="1:26" s="9" customFormat="1" ht="15.75">
      <c r="A636" s="56" t="s">
        <v>112</v>
      </c>
      <c r="B636" s="22">
        <f t="shared" ref="B636:G636" si="497">IF(B635=0,"",B635/B$1676)</f>
        <v>8.7741935483870961</v>
      </c>
      <c r="C636" s="22">
        <f t="shared" si="497"/>
        <v>12</v>
      </c>
      <c r="D636" s="22">
        <f t="shared" si="497"/>
        <v>11.483870967741936</v>
      </c>
      <c r="E636" s="22">
        <f t="shared" si="497"/>
        <v>11.066666666666666</v>
      </c>
      <c r="F636" s="22">
        <f t="shared" si="497"/>
        <v>11.516129032258064</v>
      </c>
      <c r="G636" s="22">
        <f t="shared" si="497"/>
        <v>12.5</v>
      </c>
      <c r="H636" s="22">
        <f t="shared" ref="H636:I636" si="498">IF(H635=0,"",H635/H$1676)</f>
        <v>13.709677419354838</v>
      </c>
      <c r="I636" s="22">
        <f t="shared" si="498"/>
        <v>13.096774193548388</v>
      </c>
      <c r="J636" s="22">
        <f t="shared" ref="J636:K636" si="499">IF(J635=0,"",J635/J$1676)</f>
        <v>11.9</v>
      </c>
      <c r="K636" s="22">
        <f t="shared" si="499"/>
        <v>12.225806451612904</v>
      </c>
      <c r="L636" s="22">
        <f t="shared" ref="L636:M636" si="500">IF(L635=0,"",L635/L$1676)</f>
        <v>12.3</v>
      </c>
      <c r="M636" s="22">
        <f t="shared" si="500"/>
        <v>12.67741935483871</v>
      </c>
      <c r="N636" s="128">
        <f>SUM(B636:M636)</f>
        <v>143.25053763440863</v>
      </c>
      <c r="O636" s="22">
        <f>IF(N636=0,0,AVERAGE(B636:M636))</f>
        <v>11.937544802867386</v>
      </c>
      <c r="P636" s="10"/>
      <c r="Q636" s="10"/>
      <c r="R636" s="10"/>
      <c r="S636" s="10"/>
      <c r="T636" s="10"/>
      <c r="U636" s="10"/>
      <c r="V636" s="10"/>
      <c r="W636" s="10"/>
      <c r="X636" s="10"/>
      <c r="Y636" s="10"/>
      <c r="Z636" s="10"/>
    </row>
    <row r="637" spans="1:26" s="191" customFormat="1">
      <c r="A637" s="4"/>
      <c r="B637" s="4"/>
      <c r="C637" s="4"/>
      <c r="D637" s="4"/>
      <c r="E637" s="4"/>
      <c r="F637" s="4"/>
      <c r="G637" s="4"/>
      <c r="H637" s="4"/>
      <c r="I637" s="4"/>
      <c r="J637" s="4"/>
      <c r="K637" s="4"/>
      <c r="L637" s="4"/>
      <c r="M637" s="4"/>
      <c r="N637" s="4"/>
      <c r="O637" s="4"/>
      <c r="P637" s="215"/>
      <c r="Q637" s="215"/>
      <c r="R637" s="215"/>
      <c r="S637" s="215"/>
      <c r="T637" s="215"/>
      <c r="U637" s="215"/>
      <c r="V637" s="215"/>
      <c r="W637" s="215"/>
      <c r="X637" s="215"/>
      <c r="Y637" s="215"/>
      <c r="Z637" s="215"/>
    </row>
    <row r="638" spans="1:26" s="191" customFormat="1" ht="15.75">
      <c r="A638" s="90" t="s">
        <v>637</v>
      </c>
      <c r="B638" s="86">
        <f t="shared" ref="B638:C638" si="501">B630</f>
        <v>675</v>
      </c>
      <c r="C638" s="86">
        <f t="shared" si="501"/>
        <v>798</v>
      </c>
      <c r="D638" s="86">
        <f t="shared" ref="D638:E638" si="502">D630</f>
        <v>534</v>
      </c>
      <c r="E638" s="86">
        <f t="shared" si="502"/>
        <v>607</v>
      </c>
      <c r="F638" s="86">
        <f t="shared" ref="F638:G638" si="503">F630</f>
        <v>709</v>
      </c>
      <c r="G638" s="86">
        <f t="shared" si="503"/>
        <v>857</v>
      </c>
      <c r="H638" s="86">
        <f t="shared" ref="H638:I638" si="504">H630</f>
        <v>730</v>
      </c>
      <c r="I638" s="86">
        <f t="shared" si="504"/>
        <v>944</v>
      </c>
      <c r="J638" s="86">
        <f t="shared" ref="J638:K638" si="505">J630</f>
        <v>1203</v>
      </c>
      <c r="K638" s="86">
        <f t="shared" si="505"/>
        <v>876</v>
      </c>
      <c r="L638" s="86">
        <f t="shared" ref="L638:M638" si="506">L630</f>
        <v>981</v>
      </c>
      <c r="M638" s="86">
        <f t="shared" si="506"/>
        <v>704</v>
      </c>
      <c r="N638" s="133">
        <f>SUM(B638:M638)</f>
        <v>9618</v>
      </c>
      <c r="O638" s="19">
        <f>IF(N638=0,0,AVERAGE(B638:M638))</f>
        <v>801.5</v>
      </c>
      <c r="P638" s="215"/>
      <c r="Q638" s="215"/>
      <c r="R638" s="215"/>
      <c r="S638" s="215"/>
      <c r="T638" s="215"/>
      <c r="U638" s="215"/>
      <c r="V638" s="215"/>
      <c r="W638" s="215"/>
      <c r="X638" s="215"/>
      <c r="Y638" s="215"/>
      <c r="Z638" s="215"/>
    </row>
    <row r="639" spans="1:26" s="9" customFormat="1" ht="15.75">
      <c r="A639" s="90" t="s">
        <v>638</v>
      </c>
      <c r="B639" s="86">
        <f t="shared" ref="B639:C639" si="507">B635</f>
        <v>272</v>
      </c>
      <c r="C639" s="86">
        <f t="shared" si="507"/>
        <v>336</v>
      </c>
      <c r="D639" s="86">
        <f t="shared" ref="D639:E639" si="508">D635</f>
        <v>356</v>
      </c>
      <c r="E639" s="86">
        <f t="shared" si="508"/>
        <v>332</v>
      </c>
      <c r="F639" s="86">
        <f t="shared" ref="F639:G639" si="509">F635</f>
        <v>357</v>
      </c>
      <c r="G639" s="86">
        <f t="shared" si="509"/>
        <v>375</v>
      </c>
      <c r="H639" s="86">
        <f t="shared" ref="H639:I639" si="510">H635</f>
        <v>425</v>
      </c>
      <c r="I639" s="86">
        <f t="shared" si="510"/>
        <v>406</v>
      </c>
      <c r="J639" s="86">
        <f t="shared" ref="J639:K639" si="511">J635</f>
        <v>357</v>
      </c>
      <c r="K639" s="86">
        <f t="shared" si="511"/>
        <v>379</v>
      </c>
      <c r="L639" s="86">
        <f t="shared" ref="L639:M639" si="512">L635</f>
        <v>369</v>
      </c>
      <c r="M639" s="86">
        <f t="shared" si="512"/>
        <v>393</v>
      </c>
      <c r="N639" s="133">
        <f>SUM(B639:M639)</f>
        <v>4357</v>
      </c>
      <c r="O639" s="19">
        <f>IF(N639=0,0,AVERAGE(B639:M639))</f>
        <v>363.08333333333331</v>
      </c>
      <c r="P639" s="8"/>
      <c r="Q639" s="8"/>
      <c r="R639" s="8"/>
      <c r="S639" s="8"/>
      <c r="T639" s="8"/>
      <c r="U639" s="8"/>
      <c r="V639" s="8"/>
      <c r="W639" s="8"/>
      <c r="X639" s="8"/>
      <c r="Y639" s="8"/>
      <c r="Z639" s="8"/>
    </row>
    <row r="640" spans="1:26" s="9" customFormat="1" ht="15.75">
      <c r="A640" s="240" t="s">
        <v>639</v>
      </c>
      <c r="B640" s="333">
        <f t="shared" ref="B640:C640" si="513">SUM(B638:B639)</f>
        <v>947</v>
      </c>
      <c r="C640" s="333">
        <f t="shared" si="513"/>
        <v>1134</v>
      </c>
      <c r="D640" s="333">
        <f t="shared" ref="D640:E640" si="514">SUM(D638:D639)</f>
        <v>890</v>
      </c>
      <c r="E640" s="333">
        <f t="shared" si="514"/>
        <v>939</v>
      </c>
      <c r="F640" s="333">
        <f t="shared" ref="F640:G640" si="515">SUM(F638:F639)</f>
        <v>1066</v>
      </c>
      <c r="G640" s="333">
        <f t="shared" si="515"/>
        <v>1232</v>
      </c>
      <c r="H640" s="333">
        <f t="shared" ref="H640:I640" si="516">SUM(H638:H639)</f>
        <v>1155</v>
      </c>
      <c r="I640" s="333">
        <f t="shared" si="516"/>
        <v>1350</v>
      </c>
      <c r="J640" s="333">
        <f t="shared" ref="J640:K640" si="517">SUM(J638:J639)</f>
        <v>1560</v>
      </c>
      <c r="K640" s="333">
        <f t="shared" si="517"/>
        <v>1255</v>
      </c>
      <c r="L640" s="333">
        <f t="shared" ref="L640:M640" si="518">SUM(L638:L639)</f>
        <v>1350</v>
      </c>
      <c r="M640" s="333">
        <f t="shared" si="518"/>
        <v>1097</v>
      </c>
      <c r="N640" s="334">
        <f>SUM(N638:N639)</f>
        <v>13975</v>
      </c>
      <c r="O640" s="335">
        <f>SUM(O638:O639)</f>
        <v>1164.5833333333333</v>
      </c>
      <c r="P640" s="8"/>
      <c r="Q640" s="8"/>
      <c r="R640" s="8"/>
      <c r="S640" s="8"/>
      <c r="T640" s="8"/>
      <c r="U640" s="8"/>
      <c r="V640" s="8"/>
      <c r="W640" s="8"/>
      <c r="X640" s="8"/>
      <c r="Y640" s="8"/>
      <c r="Z640" s="8"/>
    </row>
    <row r="641" spans="1:26" s="9" customFormat="1">
      <c r="A641" s="23"/>
      <c r="B641" s="24"/>
      <c r="C641" s="24"/>
      <c r="D641" s="24"/>
      <c r="E641" s="25"/>
      <c r="F641" s="25"/>
      <c r="G641" s="25"/>
      <c r="H641" s="25"/>
      <c r="I641" s="25"/>
      <c r="J641" s="25"/>
      <c r="K641" s="25"/>
      <c r="L641" s="25"/>
      <c r="M641" s="25"/>
      <c r="N641" s="134"/>
      <c r="O641" s="13"/>
      <c r="P641" s="8"/>
      <c r="Q641" s="8"/>
      <c r="R641" s="8"/>
      <c r="S641" s="8"/>
      <c r="T641" s="8"/>
      <c r="U641" s="8"/>
      <c r="V641" s="8"/>
      <c r="W641" s="8"/>
      <c r="X641" s="8"/>
      <c r="Y641" s="8"/>
      <c r="Z641" s="8"/>
    </row>
    <row r="642" spans="1:26" s="9" customFormat="1" ht="15.75">
      <c r="A642" s="14" t="s">
        <v>657</v>
      </c>
      <c r="B642" s="15"/>
      <c r="C642" s="15"/>
      <c r="D642" s="15"/>
      <c r="E642" s="15"/>
      <c r="F642" s="15"/>
      <c r="G642" s="15"/>
      <c r="H642" s="15"/>
      <c r="I642" s="15"/>
      <c r="J642" s="15"/>
      <c r="K642" s="15"/>
      <c r="L642" s="15"/>
      <c r="M642" s="15"/>
      <c r="N642" s="132"/>
      <c r="O642" s="16"/>
      <c r="P642" s="10"/>
      <c r="Q642" s="10"/>
      <c r="R642" s="10"/>
      <c r="S642" s="10"/>
      <c r="T642" s="10"/>
      <c r="U642" s="10"/>
      <c r="V642" s="10"/>
      <c r="W642" s="10"/>
      <c r="X642" s="10"/>
      <c r="Y642" s="10"/>
      <c r="Z642" s="10"/>
    </row>
    <row r="643" spans="1:26" s="9" customFormat="1" ht="15.75">
      <c r="A643" s="34" t="s">
        <v>312</v>
      </c>
      <c r="B643" s="18">
        <f t="shared" ref="B643:G643" si="519">B558</f>
        <v>107</v>
      </c>
      <c r="C643" s="18">
        <f t="shared" si="519"/>
        <v>271</v>
      </c>
      <c r="D643" s="18">
        <f t="shared" si="519"/>
        <v>380</v>
      </c>
      <c r="E643" s="18">
        <f t="shared" si="519"/>
        <v>327</v>
      </c>
      <c r="F643" s="18">
        <f t="shared" si="519"/>
        <v>349</v>
      </c>
      <c r="G643" s="18">
        <f t="shared" si="519"/>
        <v>387</v>
      </c>
      <c r="H643" s="18">
        <f>H558</f>
        <v>349</v>
      </c>
      <c r="I643" s="18">
        <f t="shared" ref="I643:M643" si="520">I558</f>
        <v>353</v>
      </c>
      <c r="J643" s="18">
        <f t="shared" si="520"/>
        <v>336</v>
      </c>
      <c r="K643" s="18">
        <f t="shared" si="520"/>
        <v>370</v>
      </c>
      <c r="L643" s="18">
        <f t="shared" si="520"/>
        <v>325</v>
      </c>
      <c r="M643" s="18">
        <f t="shared" si="520"/>
        <v>228</v>
      </c>
      <c r="N643" s="133">
        <f>SUM(B643:M643)</f>
        <v>3782</v>
      </c>
      <c r="O643" s="19">
        <f>IF(N643=0,0,AVERAGE(B643:M643))</f>
        <v>315.16666666666669</v>
      </c>
      <c r="P643" s="8"/>
      <c r="Q643" s="8"/>
      <c r="R643" s="8"/>
      <c r="S643" s="8"/>
      <c r="T643" s="8"/>
      <c r="U643" s="8"/>
      <c r="V643" s="8"/>
      <c r="W643" s="8"/>
      <c r="X643" s="8"/>
      <c r="Y643" s="8"/>
      <c r="Z643" s="8"/>
    </row>
    <row r="644" spans="1:26" s="191" customFormat="1" ht="15.75">
      <c r="A644" s="212" t="s">
        <v>136</v>
      </c>
      <c r="B644" s="81">
        <v>13</v>
      </c>
      <c r="C644" s="81">
        <v>116</v>
      </c>
      <c r="D644" s="81">
        <v>134</v>
      </c>
      <c r="E644" s="81">
        <v>50</v>
      </c>
      <c r="F644" s="81">
        <v>198</v>
      </c>
      <c r="G644" s="81">
        <v>189</v>
      </c>
      <c r="H644" s="81">
        <v>221</v>
      </c>
      <c r="I644" s="81">
        <v>210</v>
      </c>
      <c r="J644" s="81">
        <v>197</v>
      </c>
      <c r="K644" s="81">
        <v>223</v>
      </c>
      <c r="L644" s="81">
        <v>230</v>
      </c>
      <c r="M644" s="81">
        <v>225</v>
      </c>
      <c r="N644" s="213">
        <f>SUM(B644:M644)</f>
        <v>2006</v>
      </c>
      <c r="O644" s="214">
        <f>IF(N644=0,0,AVERAGE(B644:M644))</f>
        <v>167.16666666666666</v>
      </c>
      <c r="P644" s="215"/>
      <c r="Q644" s="215"/>
      <c r="R644" s="215"/>
      <c r="S644" s="215"/>
      <c r="T644" s="215"/>
      <c r="U644" s="215"/>
      <c r="V644" s="215"/>
      <c r="W644" s="215"/>
      <c r="X644" s="215"/>
      <c r="Y644" s="215"/>
      <c r="Z644" s="215"/>
    </row>
    <row r="645" spans="1:26" s="9" customFormat="1" ht="15.75">
      <c r="A645" s="179" t="s">
        <v>137</v>
      </c>
      <c r="B645" s="65">
        <v>0</v>
      </c>
      <c r="C645" s="65">
        <v>0</v>
      </c>
      <c r="D645" s="65">
        <v>0</v>
      </c>
      <c r="E645" s="65">
        <v>0</v>
      </c>
      <c r="F645" s="65">
        <v>6</v>
      </c>
      <c r="G645" s="65">
        <v>2</v>
      </c>
      <c r="H645" s="65">
        <v>11</v>
      </c>
      <c r="I645" s="65">
        <v>10</v>
      </c>
      <c r="J645" s="65">
        <v>9</v>
      </c>
      <c r="K645" s="65">
        <v>2</v>
      </c>
      <c r="L645" s="65">
        <v>11</v>
      </c>
      <c r="M645" s="65">
        <v>3</v>
      </c>
      <c r="N645" s="143">
        <f>SUM(B645:M645)</f>
        <v>54</v>
      </c>
      <c r="O645" s="66">
        <f>IF(N645=0,0,AVERAGE(B645:M645))</f>
        <v>4.5</v>
      </c>
      <c r="P645" s="8"/>
      <c r="Q645" s="8"/>
      <c r="R645" s="8"/>
      <c r="S645" s="8"/>
      <c r="T645" s="8"/>
      <c r="U645" s="8"/>
      <c r="V645" s="8"/>
      <c r="W645" s="8"/>
      <c r="X645" s="8"/>
      <c r="Y645" s="8"/>
      <c r="Z645" s="8"/>
    </row>
    <row r="646" spans="1:26" s="9" customFormat="1" ht="30">
      <c r="A646" s="50" t="s">
        <v>138</v>
      </c>
      <c r="B646" s="35">
        <v>5</v>
      </c>
      <c r="C646" s="35">
        <v>11</v>
      </c>
      <c r="D646" s="35">
        <v>5</v>
      </c>
      <c r="E646" s="35">
        <v>7</v>
      </c>
      <c r="F646" s="35">
        <v>0</v>
      </c>
      <c r="G646" s="35">
        <v>0</v>
      </c>
      <c r="H646" s="35">
        <v>0</v>
      </c>
      <c r="I646" s="35">
        <v>0</v>
      </c>
      <c r="J646" s="35">
        <v>0</v>
      </c>
      <c r="K646" s="35">
        <v>0</v>
      </c>
      <c r="L646" s="35">
        <v>0</v>
      </c>
      <c r="M646" s="35">
        <v>0</v>
      </c>
      <c r="N646" s="138">
        <f>SUM(B646:M646)</f>
        <v>28</v>
      </c>
      <c r="O646" s="42">
        <f>IF(N646=0,0,AVERAGE(B646:M646))</f>
        <v>2.3333333333333335</v>
      </c>
      <c r="P646" s="8"/>
      <c r="Q646" s="8"/>
      <c r="R646" s="8"/>
      <c r="S646" s="8"/>
      <c r="T646" s="8"/>
      <c r="U646" s="8"/>
      <c r="V646" s="8"/>
      <c r="W646" s="8"/>
      <c r="X646" s="8"/>
      <c r="Y646" s="8"/>
      <c r="Z646" s="8"/>
    </row>
    <row r="647" spans="1:26" s="9" customFormat="1" ht="15.75">
      <c r="A647" s="67" t="s">
        <v>21</v>
      </c>
      <c r="B647" s="44">
        <f t="shared" ref="B647:C647" si="521">SUM(B643:B646)</f>
        <v>125</v>
      </c>
      <c r="C647" s="44">
        <f t="shared" si="521"/>
        <v>398</v>
      </c>
      <c r="D647" s="44">
        <f t="shared" ref="D647:E647" si="522">SUM(D643:D646)</f>
        <v>519</v>
      </c>
      <c r="E647" s="44">
        <f t="shared" si="522"/>
        <v>384</v>
      </c>
      <c r="F647" s="44">
        <f t="shared" ref="F647:G647" si="523">SUM(F643:F646)</f>
        <v>553</v>
      </c>
      <c r="G647" s="44">
        <f t="shared" si="523"/>
        <v>578</v>
      </c>
      <c r="H647" s="44">
        <f t="shared" ref="H647:I647" si="524">SUM(H643:H646)</f>
        <v>581</v>
      </c>
      <c r="I647" s="44">
        <f t="shared" si="524"/>
        <v>573</v>
      </c>
      <c r="J647" s="44">
        <f t="shared" ref="J647:K647" si="525">SUM(J643:J646)</f>
        <v>542</v>
      </c>
      <c r="K647" s="44">
        <f t="shared" si="525"/>
        <v>595</v>
      </c>
      <c r="L647" s="44">
        <f t="shared" ref="L647:M647" si="526">SUM(L643:L646)</f>
        <v>566</v>
      </c>
      <c r="M647" s="44">
        <f t="shared" si="526"/>
        <v>456</v>
      </c>
      <c r="N647" s="139">
        <f>SUM(N643:N646)</f>
        <v>5870</v>
      </c>
      <c r="O647" s="45">
        <f>SUM(O643:O646)</f>
        <v>489.16666666666669</v>
      </c>
      <c r="P647" s="8"/>
      <c r="Q647" s="8"/>
      <c r="R647" s="8"/>
      <c r="S647" s="8"/>
      <c r="T647" s="8"/>
      <c r="U647" s="8"/>
      <c r="V647" s="8"/>
      <c r="W647" s="8"/>
      <c r="X647" s="8"/>
      <c r="Y647" s="8"/>
      <c r="Z647" s="8"/>
    </row>
    <row r="648" spans="1:26" s="9" customFormat="1" ht="15.75">
      <c r="A648" s="181" t="s">
        <v>112</v>
      </c>
      <c r="B648" s="45">
        <f t="shared" ref="B648:G648" si="527">IF(B647=0,"",B647/B$1676)</f>
        <v>4.032258064516129</v>
      </c>
      <c r="C648" s="45">
        <f t="shared" si="527"/>
        <v>14.214285714285714</v>
      </c>
      <c r="D648" s="45">
        <f t="shared" si="527"/>
        <v>16.741935483870968</v>
      </c>
      <c r="E648" s="45">
        <f t="shared" si="527"/>
        <v>12.8</v>
      </c>
      <c r="F648" s="45">
        <f t="shared" si="527"/>
        <v>17.838709677419356</v>
      </c>
      <c r="G648" s="45">
        <f t="shared" si="527"/>
        <v>19.266666666666666</v>
      </c>
      <c r="H648" s="45">
        <f t="shared" ref="H648:I648" si="528">IF(H647=0,"",H647/H$1676)</f>
        <v>18.741935483870968</v>
      </c>
      <c r="I648" s="45">
        <f t="shared" si="528"/>
        <v>18.483870967741936</v>
      </c>
      <c r="J648" s="45">
        <f t="shared" ref="J648:K648" si="529">IF(J647=0,"",J647/J$1676)</f>
        <v>18.066666666666666</v>
      </c>
      <c r="K648" s="45">
        <f t="shared" si="529"/>
        <v>19.193548387096776</v>
      </c>
      <c r="L648" s="45">
        <f t="shared" ref="L648:M648" si="530">IF(L647=0,"",L647/L$1676)</f>
        <v>18.866666666666667</v>
      </c>
      <c r="M648" s="45">
        <f t="shared" si="530"/>
        <v>14.709677419354838</v>
      </c>
      <c r="N648" s="139">
        <f>SUM(B648:M648)</f>
        <v>192.9562211981567</v>
      </c>
      <c r="O648" s="45">
        <f>IF(N648=0,0,AVERAGE(B648:M648))</f>
        <v>16.07968509984639</v>
      </c>
      <c r="P648" s="8"/>
      <c r="Q648" s="8"/>
      <c r="R648" s="8"/>
      <c r="S648" s="8"/>
      <c r="T648" s="8"/>
      <c r="U648" s="8"/>
      <c r="V648" s="8"/>
      <c r="W648" s="8"/>
      <c r="X648" s="8"/>
      <c r="Y648" s="8"/>
      <c r="Z648" s="8"/>
    </row>
    <row r="649" spans="1:26" customFormat="1" ht="14.25">
      <c r="C649" s="4"/>
      <c r="G649" s="4"/>
      <c r="I649" s="4"/>
    </row>
    <row r="650" spans="1:26" s="4" customFormat="1" ht="15.75">
      <c r="A650" s="60" t="s">
        <v>658</v>
      </c>
      <c r="B650" s="15"/>
      <c r="C650" s="15"/>
      <c r="D650" s="15"/>
      <c r="E650" s="15"/>
      <c r="F650" s="15"/>
      <c r="G650" s="15"/>
      <c r="H650" s="15"/>
      <c r="I650" s="15"/>
      <c r="J650" s="15"/>
      <c r="K650" s="15"/>
      <c r="L650" s="15"/>
      <c r="M650" s="15"/>
      <c r="N650" s="132"/>
      <c r="O650" s="16"/>
    </row>
    <row r="651" spans="1:26" s="4" customFormat="1" ht="15.75">
      <c r="A651" s="37" t="s">
        <v>18</v>
      </c>
      <c r="B651" s="18">
        <f>1+1</f>
        <v>2</v>
      </c>
      <c r="C651" s="18">
        <f>8+7</f>
        <v>15</v>
      </c>
      <c r="D651" s="18">
        <v>6</v>
      </c>
      <c r="E651" s="18">
        <v>12</v>
      </c>
      <c r="F651" s="18">
        <f>24+15</f>
        <v>39</v>
      </c>
      <c r="G651" s="18">
        <f>33+14</f>
        <v>47</v>
      </c>
      <c r="H651" s="18">
        <f>20+23</f>
        <v>43</v>
      </c>
      <c r="I651" s="18">
        <f>23+24</f>
        <v>47</v>
      </c>
      <c r="J651" s="18">
        <f>39+3</f>
        <v>42</v>
      </c>
      <c r="K651" s="18">
        <f>19+29</f>
        <v>48</v>
      </c>
      <c r="L651" s="18">
        <f>34+16</f>
        <v>50</v>
      </c>
      <c r="M651" s="18">
        <f>22+30</f>
        <v>52</v>
      </c>
      <c r="N651" s="133">
        <f>SUM(B651:M651)</f>
        <v>403</v>
      </c>
      <c r="O651" s="19">
        <f>IF(N651=0,0,AVERAGE(B651:M651))</f>
        <v>33.583333333333336</v>
      </c>
    </row>
    <row r="652" spans="1:26" s="4" customFormat="1" ht="15.75">
      <c r="A652" s="37" t="s">
        <v>19</v>
      </c>
      <c r="B652" s="18">
        <f>13</f>
        <v>13</v>
      </c>
      <c r="C652" s="18">
        <v>11</v>
      </c>
      <c r="D652" s="18">
        <f>30+7</f>
        <v>37</v>
      </c>
      <c r="E652" s="18">
        <f>17+5</f>
        <v>22</v>
      </c>
      <c r="F652" s="18">
        <v>36</v>
      </c>
      <c r="G652" s="18">
        <v>47</v>
      </c>
      <c r="H652" s="18">
        <v>46</v>
      </c>
      <c r="I652" s="18">
        <v>35</v>
      </c>
      <c r="J652" s="18">
        <v>38</v>
      </c>
      <c r="K652" s="18">
        <v>34</v>
      </c>
      <c r="L652" s="18">
        <v>26</v>
      </c>
      <c r="M652" s="18">
        <v>33</v>
      </c>
      <c r="N652" s="133">
        <f>SUM(B652:M652)</f>
        <v>378</v>
      </c>
      <c r="O652" s="19">
        <f>IF(N652=0,0,AVERAGE(B652:M652))</f>
        <v>31.5</v>
      </c>
    </row>
    <row r="653" spans="1:26" s="4" customFormat="1" ht="15.75">
      <c r="A653" s="37" t="s">
        <v>20</v>
      </c>
      <c r="B653" s="18">
        <v>3</v>
      </c>
      <c r="C653" s="18">
        <v>101</v>
      </c>
      <c r="D653" s="18">
        <v>96</v>
      </c>
      <c r="E653" s="18">
        <v>23</v>
      </c>
      <c r="F653" s="18">
        <v>129</v>
      </c>
      <c r="G653" s="18">
        <v>97</v>
      </c>
      <c r="H653" s="18">
        <v>143</v>
      </c>
      <c r="I653" s="18">
        <v>138</v>
      </c>
      <c r="J653" s="18">
        <v>126</v>
      </c>
      <c r="K653" s="18">
        <v>143</v>
      </c>
      <c r="L653" s="18">
        <v>165</v>
      </c>
      <c r="M653" s="18">
        <v>142</v>
      </c>
      <c r="N653" s="133">
        <f>SUM(B653:M653)</f>
        <v>1306</v>
      </c>
      <c r="O653" s="19">
        <f>IF(N653=0,0,AVERAGE(B653:M653))</f>
        <v>108.83333333333333</v>
      </c>
    </row>
    <row r="654" spans="1:26" s="4" customFormat="1" ht="15.75">
      <c r="A654" s="56" t="s">
        <v>21</v>
      </c>
      <c r="B654" s="21">
        <f t="shared" ref="B654:C654" si="531">SUM(B651:B653)</f>
        <v>18</v>
      </c>
      <c r="C654" s="21">
        <f t="shared" si="531"/>
        <v>127</v>
      </c>
      <c r="D654" s="21">
        <f t="shared" ref="D654:E654" si="532">SUM(D651:D653)</f>
        <v>139</v>
      </c>
      <c r="E654" s="21">
        <f t="shared" si="532"/>
        <v>57</v>
      </c>
      <c r="F654" s="21">
        <f t="shared" ref="F654:G654" si="533">SUM(F651:F653)</f>
        <v>204</v>
      </c>
      <c r="G654" s="21">
        <f t="shared" si="533"/>
        <v>191</v>
      </c>
      <c r="H654" s="21">
        <f t="shared" ref="H654:I654" si="534">SUM(H651:H653)</f>
        <v>232</v>
      </c>
      <c r="I654" s="21">
        <f t="shared" si="534"/>
        <v>220</v>
      </c>
      <c r="J654" s="21">
        <f t="shared" ref="J654:K654" si="535">SUM(J651:J653)</f>
        <v>206</v>
      </c>
      <c r="K654" s="21">
        <f t="shared" si="535"/>
        <v>225</v>
      </c>
      <c r="L654" s="21">
        <f t="shared" ref="L654:M654" si="536">SUM(L651:L653)</f>
        <v>241</v>
      </c>
      <c r="M654" s="21">
        <f t="shared" si="536"/>
        <v>227</v>
      </c>
      <c r="N654" s="128">
        <f>SUM(N651:N653)</f>
        <v>2087</v>
      </c>
      <c r="O654" s="22">
        <f>SUM(O651:O653)</f>
        <v>173.91666666666669</v>
      </c>
    </row>
    <row r="655" spans="1:26" s="4" customFormat="1" ht="15.75">
      <c r="A655" s="56" t="s">
        <v>112</v>
      </c>
      <c r="B655" s="22">
        <f t="shared" ref="B655:G655" si="537">IF(B654=0,"",B654/B$1676)</f>
        <v>0.58064516129032262</v>
      </c>
      <c r="C655" s="22">
        <f t="shared" si="537"/>
        <v>4.5357142857142856</v>
      </c>
      <c r="D655" s="22">
        <f t="shared" si="537"/>
        <v>4.4838709677419351</v>
      </c>
      <c r="E655" s="22">
        <f t="shared" si="537"/>
        <v>1.9</v>
      </c>
      <c r="F655" s="22">
        <f t="shared" si="537"/>
        <v>6.580645161290323</v>
      </c>
      <c r="G655" s="22">
        <f t="shared" si="537"/>
        <v>6.3666666666666663</v>
      </c>
      <c r="H655" s="22">
        <f t="shared" ref="H655:I655" si="538">IF(H654=0,"",H654/H$1676)</f>
        <v>7.4838709677419351</v>
      </c>
      <c r="I655" s="22">
        <f t="shared" si="538"/>
        <v>7.096774193548387</v>
      </c>
      <c r="J655" s="22">
        <f t="shared" ref="J655:K655" si="539">IF(J654=0,"",J654/J$1676)</f>
        <v>6.8666666666666663</v>
      </c>
      <c r="K655" s="22">
        <f t="shared" si="539"/>
        <v>7.258064516129032</v>
      </c>
      <c r="L655" s="22">
        <f t="shared" ref="L655:M655" si="540">IF(L654=0,"",L654/L$1676)</f>
        <v>8.0333333333333332</v>
      </c>
      <c r="M655" s="22">
        <f t="shared" si="540"/>
        <v>7.32258064516129</v>
      </c>
      <c r="N655" s="128">
        <f>SUM(B655:M655)</f>
        <v>68.50883256528418</v>
      </c>
      <c r="O655" s="22">
        <f>IF(N655=0,0,AVERAGE(B655:M655))</f>
        <v>5.7090693804403481</v>
      </c>
    </row>
    <row r="656" spans="1:26" s="4" customFormat="1" ht="15.75">
      <c r="A656" s="87"/>
      <c r="B656" s="88"/>
      <c r="C656" s="88"/>
      <c r="D656" s="88"/>
      <c r="E656" s="88"/>
      <c r="F656" s="89"/>
      <c r="G656" s="89"/>
      <c r="H656" s="89"/>
      <c r="I656" s="89"/>
      <c r="J656" s="89"/>
      <c r="K656" s="89"/>
      <c r="L656" s="89"/>
      <c r="M656" s="89"/>
      <c r="N656" s="149"/>
      <c r="O656" s="13"/>
    </row>
    <row r="657" spans="1:26" s="4" customFormat="1" ht="15.75">
      <c r="A657" s="60" t="s">
        <v>659</v>
      </c>
      <c r="B657" s="15"/>
      <c r="C657" s="15"/>
      <c r="D657" s="15"/>
      <c r="E657" s="15"/>
      <c r="F657" s="15"/>
      <c r="G657" s="15"/>
      <c r="H657" s="15"/>
      <c r="I657" s="15"/>
      <c r="J657" s="15"/>
      <c r="K657" s="15"/>
      <c r="L657" s="15"/>
      <c r="M657" s="15"/>
      <c r="N657" s="132"/>
      <c r="O657" s="16"/>
    </row>
    <row r="658" spans="1:26" s="4" customFormat="1" ht="15.75">
      <c r="A658" s="34" t="s">
        <v>114</v>
      </c>
      <c r="B658" s="18">
        <f t="shared" ref="B658:G658" si="541">B643</f>
        <v>107</v>
      </c>
      <c r="C658" s="18">
        <f t="shared" si="541"/>
        <v>271</v>
      </c>
      <c r="D658" s="18">
        <f t="shared" si="541"/>
        <v>380</v>
      </c>
      <c r="E658" s="18">
        <f t="shared" si="541"/>
        <v>327</v>
      </c>
      <c r="F658" s="18">
        <f t="shared" si="541"/>
        <v>349</v>
      </c>
      <c r="G658" s="18">
        <f t="shared" si="541"/>
        <v>387</v>
      </c>
      <c r="H658" s="18">
        <f t="shared" ref="H658:I658" si="542">H643</f>
        <v>349</v>
      </c>
      <c r="I658" s="18">
        <f t="shared" si="542"/>
        <v>353</v>
      </c>
      <c r="J658" s="18">
        <f t="shared" ref="J658:K658" si="543">J643</f>
        <v>336</v>
      </c>
      <c r="K658" s="18">
        <f t="shared" si="543"/>
        <v>370</v>
      </c>
      <c r="L658" s="18">
        <f t="shared" ref="L658:M658" si="544">L643</f>
        <v>325</v>
      </c>
      <c r="M658" s="18">
        <f t="shared" si="544"/>
        <v>228</v>
      </c>
      <c r="N658" s="133">
        <f>SUM(B658:M658)</f>
        <v>3782</v>
      </c>
      <c r="O658" s="19">
        <f>IF(N658=0,0,AVERAGE(B658:M658))</f>
        <v>315.16666666666669</v>
      </c>
    </row>
    <row r="659" spans="1:26" s="4" customFormat="1" ht="15.75">
      <c r="A659" s="56" t="s">
        <v>21</v>
      </c>
      <c r="B659" s="21">
        <f t="shared" ref="B659:C659" si="545">SUM(B658)</f>
        <v>107</v>
      </c>
      <c r="C659" s="21">
        <f t="shared" si="545"/>
        <v>271</v>
      </c>
      <c r="D659" s="21">
        <f t="shared" ref="D659:E659" si="546">SUM(D658)</f>
        <v>380</v>
      </c>
      <c r="E659" s="21">
        <f t="shared" si="546"/>
        <v>327</v>
      </c>
      <c r="F659" s="21">
        <f t="shared" ref="F659:G659" si="547">SUM(F658)</f>
        <v>349</v>
      </c>
      <c r="G659" s="21">
        <f t="shared" si="547"/>
        <v>387</v>
      </c>
      <c r="H659" s="21">
        <f t="shared" ref="H659:I659" si="548">SUM(H658)</f>
        <v>349</v>
      </c>
      <c r="I659" s="21">
        <f t="shared" si="548"/>
        <v>353</v>
      </c>
      <c r="J659" s="21">
        <f t="shared" ref="J659:K659" si="549">SUM(J658)</f>
        <v>336</v>
      </c>
      <c r="K659" s="21">
        <f t="shared" si="549"/>
        <v>370</v>
      </c>
      <c r="L659" s="21">
        <f t="shared" ref="L659:M659" si="550">SUM(L658)</f>
        <v>325</v>
      </c>
      <c r="M659" s="21">
        <f t="shared" si="550"/>
        <v>228</v>
      </c>
      <c r="N659" s="128">
        <f>SUM(N658)</f>
        <v>3782</v>
      </c>
      <c r="O659" s="22">
        <f>SUM(O658)</f>
        <v>315.16666666666669</v>
      </c>
    </row>
    <row r="660" spans="1:26" s="4" customFormat="1" ht="15.75">
      <c r="A660" s="56" t="s">
        <v>112</v>
      </c>
      <c r="B660" s="22">
        <f t="shared" ref="B660:G660" si="551">IF(B659=0,"",B659/B$1676)</f>
        <v>3.4516129032258065</v>
      </c>
      <c r="C660" s="22">
        <f t="shared" si="551"/>
        <v>9.6785714285714288</v>
      </c>
      <c r="D660" s="22">
        <f t="shared" si="551"/>
        <v>12.258064516129032</v>
      </c>
      <c r="E660" s="22">
        <f t="shared" si="551"/>
        <v>10.9</v>
      </c>
      <c r="F660" s="22">
        <f t="shared" si="551"/>
        <v>11.258064516129032</v>
      </c>
      <c r="G660" s="22">
        <f t="shared" si="551"/>
        <v>12.9</v>
      </c>
      <c r="H660" s="22">
        <f t="shared" ref="H660:I660" si="552">IF(H659=0,"",H659/H$1676)</f>
        <v>11.258064516129032</v>
      </c>
      <c r="I660" s="22">
        <f t="shared" si="552"/>
        <v>11.387096774193548</v>
      </c>
      <c r="J660" s="22">
        <f t="shared" ref="J660:K660" si="553">IF(J659=0,"",J659/J$1676)</f>
        <v>11.2</v>
      </c>
      <c r="K660" s="22">
        <f t="shared" si="553"/>
        <v>11.935483870967742</v>
      </c>
      <c r="L660" s="22">
        <f t="shared" ref="L660:M660" si="554">IF(L659=0,"",L659/L$1676)</f>
        <v>10.833333333333334</v>
      </c>
      <c r="M660" s="22">
        <f t="shared" si="554"/>
        <v>7.354838709677419</v>
      </c>
      <c r="N660" s="128">
        <f>SUM(B660:M660)</f>
        <v>124.41513056835637</v>
      </c>
      <c r="O660" s="22">
        <f>IF(N660=0,0,AVERAGE(B660:M660))</f>
        <v>10.367927547363031</v>
      </c>
    </row>
    <row r="661" spans="1:26" s="4" customFormat="1" ht="14.25"/>
    <row r="662" spans="1:26" s="4" customFormat="1" ht="15.75">
      <c r="A662" s="90" t="s">
        <v>637</v>
      </c>
      <c r="B662" s="86">
        <f t="shared" ref="B662:C662" si="555">B654</f>
        <v>18</v>
      </c>
      <c r="C662" s="86">
        <f t="shared" si="555"/>
        <v>127</v>
      </c>
      <c r="D662" s="86">
        <f t="shared" ref="D662:E662" si="556">D654</f>
        <v>139</v>
      </c>
      <c r="E662" s="86">
        <f t="shared" si="556"/>
        <v>57</v>
      </c>
      <c r="F662" s="86">
        <f t="shared" ref="F662:G662" si="557">F654</f>
        <v>204</v>
      </c>
      <c r="G662" s="86">
        <f t="shared" si="557"/>
        <v>191</v>
      </c>
      <c r="H662" s="86">
        <f t="shared" ref="H662:I662" si="558">H654</f>
        <v>232</v>
      </c>
      <c r="I662" s="86">
        <f t="shared" si="558"/>
        <v>220</v>
      </c>
      <c r="J662" s="86">
        <f t="shared" ref="J662:K662" si="559">J654</f>
        <v>206</v>
      </c>
      <c r="K662" s="86">
        <f t="shared" si="559"/>
        <v>225</v>
      </c>
      <c r="L662" s="86">
        <f t="shared" ref="L662:M662" si="560">L654</f>
        <v>241</v>
      </c>
      <c r="M662" s="86">
        <f t="shared" si="560"/>
        <v>227</v>
      </c>
      <c r="N662" s="133">
        <f>SUM(B662:M662)</f>
        <v>2087</v>
      </c>
      <c r="O662" s="19">
        <f>IF(N662=0,0,AVERAGE(B662:M662))</f>
        <v>173.91666666666666</v>
      </c>
    </row>
    <row r="663" spans="1:26" s="4" customFormat="1" ht="15.75">
      <c r="A663" s="90" t="s">
        <v>638</v>
      </c>
      <c r="B663" s="86">
        <f t="shared" ref="B663:C663" si="561">B659</f>
        <v>107</v>
      </c>
      <c r="C663" s="86">
        <f t="shared" si="561"/>
        <v>271</v>
      </c>
      <c r="D663" s="86">
        <f t="shared" ref="D663:E663" si="562">D659</f>
        <v>380</v>
      </c>
      <c r="E663" s="86">
        <f t="shared" si="562"/>
        <v>327</v>
      </c>
      <c r="F663" s="86">
        <f t="shared" ref="F663:G663" si="563">F659</f>
        <v>349</v>
      </c>
      <c r="G663" s="86">
        <f t="shared" si="563"/>
        <v>387</v>
      </c>
      <c r="H663" s="86">
        <f t="shared" ref="H663:I663" si="564">H659</f>
        <v>349</v>
      </c>
      <c r="I663" s="86">
        <f t="shared" si="564"/>
        <v>353</v>
      </c>
      <c r="J663" s="86">
        <f t="shared" ref="J663:K663" si="565">J659</f>
        <v>336</v>
      </c>
      <c r="K663" s="86">
        <f t="shared" si="565"/>
        <v>370</v>
      </c>
      <c r="L663" s="86">
        <f t="shared" ref="L663:M663" si="566">L659</f>
        <v>325</v>
      </c>
      <c r="M663" s="86">
        <f t="shared" si="566"/>
        <v>228</v>
      </c>
      <c r="N663" s="133">
        <f>SUM(B663:M663)</f>
        <v>3782</v>
      </c>
      <c r="O663" s="19">
        <f>IF(N663=0,0,AVERAGE(B663:M663))</f>
        <v>315.16666666666669</v>
      </c>
    </row>
    <row r="664" spans="1:26" s="4" customFormat="1" ht="15.75">
      <c r="A664" s="240" t="s">
        <v>639</v>
      </c>
      <c r="B664" s="333">
        <f t="shared" ref="B664:C664" si="567">SUM(B662:B663)</f>
        <v>125</v>
      </c>
      <c r="C664" s="333">
        <f t="shared" si="567"/>
        <v>398</v>
      </c>
      <c r="D664" s="333">
        <f t="shared" ref="D664:E664" si="568">SUM(D662:D663)</f>
        <v>519</v>
      </c>
      <c r="E664" s="333">
        <f t="shared" si="568"/>
        <v>384</v>
      </c>
      <c r="F664" s="333">
        <f t="shared" ref="F664:G664" si="569">SUM(F662:F663)</f>
        <v>553</v>
      </c>
      <c r="G664" s="333">
        <f t="shared" si="569"/>
        <v>578</v>
      </c>
      <c r="H664" s="333">
        <f t="shared" ref="H664:I664" si="570">SUM(H662:H663)</f>
        <v>581</v>
      </c>
      <c r="I664" s="333">
        <f t="shared" si="570"/>
        <v>573</v>
      </c>
      <c r="J664" s="333">
        <f t="shared" ref="J664:K664" si="571">SUM(J662:J663)</f>
        <v>542</v>
      </c>
      <c r="K664" s="333">
        <f t="shared" si="571"/>
        <v>595</v>
      </c>
      <c r="L664" s="333">
        <f t="shared" ref="L664:M664" si="572">SUM(L662:L663)</f>
        <v>566</v>
      </c>
      <c r="M664" s="333">
        <f t="shared" si="572"/>
        <v>455</v>
      </c>
      <c r="N664" s="334">
        <f>SUM(N662:N663)</f>
        <v>5869</v>
      </c>
      <c r="O664" s="335">
        <f>SUM(O662:O663)</f>
        <v>489.08333333333337</v>
      </c>
    </row>
    <row r="665" spans="1:26" s="4" customFormat="1" ht="14.25"/>
    <row r="666" spans="1:26" s="9" customFormat="1" ht="15.75">
      <c r="A666" s="14" t="s">
        <v>660</v>
      </c>
      <c r="B666" s="15"/>
      <c r="C666" s="15"/>
      <c r="D666" s="15"/>
      <c r="E666" s="15"/>
      <c r="F666" s="15"/>
      <c r="G666" s="15"/>
      <c r="H666" s="15"/>
      <c r="I666" s="15"/>
      <c r="J666" s="15"/>
      <c r="K666" s="15"/>
      <c r="L666" s="15"/>
      <c r="M666" s="15"/>
      <c r="N666" s="132"/>
      <c r="O666" s="16"/>
      <c r="P666" s="10"/>
      <c r="Q666" s="10"/>
      <c r="R666" s="10"/>
      <c r="S666" s="10"/>
      <c r="T666" s="10"/>
      <c r="U666" s="10"/>
      <c r="V666" s="10"/>
      <c r="W666" s="10"/>
      <c r="X666" s="10"/>
      <c r="Y666" s="10"/>
      <c r="Z666" s="10"/>
    </row>
    <row r="667" spans="1:26" s="9" customFormat="1" ht="15.75">
      <c r="A667" s="85" t="s">
        <v>139</v>
      </c>
      <c r="B667" s="86">
        <v>0</v>
      </c>
      <c r="C667" s="86">
        <v>0</v>
      </c>
      <c r="D667" s="86">
        <v>0</v>
      </c>
      <c r="E667" s="86">
        <v>0</v>
      </c>
      <c r="F667" s="86">
        <v>0</v>
      </c>
      <c r="G667" s="86">
        <v>0</v>
      </c>
      <c r="H667" s="86">
        <v>0</v>
      </c>
      <c r="I667" s="86">
        <v>0</v>
      </c>
      <c r="J667" s="86">
        <v>0</v>
      </c>
      <c r="K667" s="86">
        <v>0</v>
      </c>
      <c r="L667" s="86">
        <v>0</v>
      </c>
      <c r="M667" s="86">
        <v>0</v>
      </c>
      <c r="N667" s="133">
        <f t="shared" ref="N667:N675" si="573">SUM(B667:M667)</f>
        <v>0</v>
      </c>
      <c r="O667" s="19">
        <f t="shared" ref="O667:O675" si="574">IF(N667=0,0,AVERAGE(B667:M667))</f>
        <v>0</v>
      </c>
      <c r="P667" s="8"/>
      <c r="Q667" s="8"/>
      <c r="R667" s="8"/>
      <c r="S667" s="8"/>
      <c r="T667" s="8"/>
      <c r="U667" s="8"/>
      <c r="V667" s="8"/>
      <c r="W667" s="8"/>
      <c r="X667" s="8"/>
      <c r="Y667" s="8"/>
      <c r="Z667" s="8"/>
    </row>
    <row r="668" spans="1:26" s="9" customFormat="1" ht="15.75">
      <c r="A668" s="34" t="s">
        <v>140</v>
      </c>
      <c r="B668" s="18">
        <v>0</v>
      </c>
      <c r="C668" s="18">
        <v>0</v>
      </c>
      <c r="D668" s="18">
        <v>0</v>
      </c>
      <c r="E668" s="18">
        <v>0</v>
      </c>
      <c r="F668" s="18">
        <v>0</v>
      </c>
      <c r="G668" s="18">
        <v>0</v>
      </c>
      <c r="H668" s="18">
        <v>0</v>
      </c>
      <c r="I668" s="18">
        <v>0</v>
      </c>
      <c r="J668" s="18">
        <v>0</v>
      </c>
      <c r="K668" s="18">
        <v>0</v>
      </c>
      <c r="L668" s="18">
        <v>0</v>
      </c>
      <c r="M668" s="18">
        <v>0</v>
      </c>
      <c r="N668" s="133">
        <f t="shared" si="573"/>
        <v>0</v>
      </c>
      <c r="O668" s="19">
        <f t="shared" si="574"/>
        <v>0</v>
      </c>
      <c r="P668" s="8"/>
      <c r="Q668" s="8"/>
      <c r="R668" s="8"/>
      <c r="S668" s="8"/>
      <c r="T668" s="8"/>
      <c r="U668" s="8"/>
      <c r="V668" s="8"/>
      <c r="W668" s="8"/>
      <c r="X668" s="8"/>
      <c r="Y668" s="8"/>
      <c r="Z668" s="8"/>
    </row>
    <row r="669" spans="1:26" s="9" customFormat="1" ht="15.75">
      <c r="A669" s="34" t="s">
        <v>141</v>
      </c>
      <c r="B669" s="18">
        <v>0</v>
      </c>
      <c r="C669" s="18">
        <v>0</v>
      </c>
      <c r="D669" s="18">
        <v>0</v>
      </c>
      <c r="E669" s="18">
        <v>0</v>
      </c>
      <c r="F669" s="18">
        <v>0</v>
      </c>
      <c r="G669" s="18">
        <v>0</v>
      </c>
      <c r="H669" s="18">
        <v>0</v>
      </c>
      <c r="I669" s="18">
        <v>0</v>
      </c>
      <c r="J669" s="18">
        <v>0</v>
      </c>
      <c r="K669" s="18">
        <v>0</v>
      </c>
      <c r="L669" s="18">
        <v>0</v>
      </c>
      <c r="M669" s="18">
        <v>0</v>
      </c>
      <c r="N669" s="133">
        <f t="shared" si="573"/>
        <v>0</v>
      </c>
      <c r="O669" s="19">
        <f t="shared" si="574"/>
        <v>0</v>
      </c>
      <c r="P669" s="8"/>
      <c r="Q669" s="8"/>
      <c r="R669" s="8"/>
      <c r="S669" s="8"/>
      <c r="T669" s="8"/>
      <c r="U669" s="8"/>
      <c r="V669" s="8"/>
      <c r="W669" s="8"/>
      <c r="X669" s="8"/>
      <c r="Y669" s="8"/>
      <c r="Z669" s="8"/>
    </row>
    <row r="670" spans="1:26" s="9" customFormat="1" ht="15.75">
      <c r="A670" s="85" t="s">
        <v>142</v>
      </c>
      <c r="B670" s="86">
        <v>39</v>
      </c>
      <c r="C670" s="86">
        <v>30</v>
      </c>
      <c r="D670" s="86">
        <v>19</v>
      </c>
      <c r="E670" s="86">
        <v>37</v>
      </c>
      <c r="F670" s="86">
        <v>27</v>
      </c>
      <c r="G670" s="86">
        <v>50</v>
      </c>
      <c r="H670" s="86">
        <v>34</v>
      </c>
      <c r="I670" s="86">
        <v>36</v>
      </c>
      <c r="J670" s="86">
        <v>33</v>
      </c>
      <c r="K670" s="86">
        <v>26</v>
      </c>
      <c r="L670" s="86">
        <v>26</v>
      </c>
      <c r="M670" s="86">
        <v>25</v>
      </c>
      <c r="N670" s="133">
        <f t="shared" si="573"/>
        <v>382</v>
      </c>
      <c r="O670" s="19">
        <f t="shared" si="574"/>
        <v>31.833333333333332</v>
      </c>
      <c r="P670" s="10"/>
      <c r="Q670" s="10"/>
      <c r="R670" s="10"/>
      <c r="S670" s="10"/>
      <c r="T670" s="10"/>
      <c r="U670" s="10"/>
      <c r="V670" s="10"/>
      <c r="W670" s="10"/>
      <c r="X670" s="10"/>
      <c r="Y670" s="10"/>
      <c r="Z670" s="10"/>
    </row>
    <row r="671" spans="1:26" s="9" customFormat="1" ht="15.75">
      <c r="A671" s="34" t="s">
        <v>140</v>
      </c>
      <c r="B671" s="18">
        <v>504</v>
      </c>
      <c r="C671" s="18">
        <v>711</v>
      </c>
      <c r="D671" s="18">
        <v>235</v>
      </c>
      <c r="E671" s="18">
        <v>837</v>
      </c>
      <c r="F671" s="18">
        <v>453</v>
      </c>
      <c r="G671" s="18">
        <v>732</v>
      </c>
      <c r="H671" s="18">
        <v>764</v>
      </c>
      <c r="I671" s="18">
        <v>347</v>
      </c>
      <c r="J671" s="18">
        <v>651</v>
      </c>
      <c r="K671" s="18">
        <v>590</v>
      </c>
      <c r="L671" s="18">
        <v>397</v>
      </c>
      <c r="M671" s="18">
        <v>415</v>
      </c>
      <c r="N671" s="133">
        <f t="shared" si="573"/>
        <v>6636</v>
      </c>
      <c r="O671" s="19">
        <f t="shared" si="574"/>
        <v>553</v>
      </c>
      <c r="P671" s="8"/>
      <c r="Q671" s="8"/>
      <c r="R671" s="8"/>
      <c r="S671" s="8"/>
      <c r="T671" s="8"/>
      <c r="U671" s="8"/>
      <c r="V671" s="8"/>
      <c r="W671" s="8"/>
      <c r="X671" s="8"/>
      <c r="Y671" s="8"/>
      <c r="Z671" s="8"/>
    </row>
    <row r="672" spans="1:26" s="9" customFormat="1" ht="15.75">
      <c r="A672" s="34" t="s">
        <v>141</v>
      </c>
      <c r="B672" s="291">
        <v>24.161805555555556</v>
      </c>
      <c r="C672" s="291">
        <v>36.888888888888893</v>
      </c>
      <c r="D672" s="291">
        <v>7.5694444444444438</v>
      </c>
      <c r="E672" s="291">
        <v>26.840277777777775</v>
      </c>
      <c r="F672" s="291">
        <v>13.628472222222221</v>
      </c>
      <c r="G672" s="291">
        <v>42.017361111111107</v>
      </c>
      <c r="H672" s="291">
        <v>19.197916666666668</v>
      </c>
      <c r="I672" s="291">
        <v>15.139583333333334</v>
      </c>
      <c r="J672" s="291">
        <v>30.110416666666666</v>
      </c>
      <c r="K672" s="291">
        <v>29.916666666666668</v>
      </c>
      <c r="L672" s="291">
        <v>17.850694444444446</v>
      </c>
      <c r="M672" s="291">
        <v>24.531944444444445</v>
      </c>
      <c r="N672" s="216">
        <f>SUM(B672:M672)</f>
        <v>287.85347222222214</v>
      </c>
      <c r="O672" s="216">
        <f t="shared" si="574"/>
        <v>23.987789351851845</v>
      </c>
      <c r="P672" s="10"/>
      <c r="Q672" s="10"/>
      <c r="R672" s="10"/>
      <c r="S672" s="10"/>
      <c r="T672" s="10"/>
      <c r="U672" s="10"/>
      <c r="V672" s="10"/>
      <c r="W672" s="10"/>
      <c r="X672" s="10"/>
      <c r="Y672" s="10"/>
      <c r="Z672" s="10"/>
    </row>
    <row r="673" spans="1:26" s="9" customFormat="1" ht="15.75">
      <c r="A673" s="85" t="s">
        <v>143</v>
      </c>
      <c r="B673" s="86">
        <v>0</v>
      </c>
      <c r="C673" s="86">
        <v>0</v>
      </c>
      <c r="D673" s="86">
        <v>0</v>
      </c>
      <c r="E673" s="86">
        <v>0</v>
      </c>
      <c r="F673" s="86">
        <v>0</v>
      </c>
      <c r="G673" s="86">
        <v>0</v>
      </c>
      <c r="H673" s="86">
        <v>0</v>
      </c>
      <c r="I673" s="86">
        <v>0</v>
      </c>
      <c r="J673" s="86">
        <v>0</v>
      </c>
      <c r="K673" s="86">
        <v>0</v>
      </c>
      <c r="L673" s="86">
        <v>3</v>
      </c>
      <c r="M673" s="86">
        <v>0</v>
      </c>
      <c r="N673" s="133">
        <f t="shared" si="573"/>
        <v>3</v>
      </c>
      <c r="O673" s="19">
        <f t="shared" si="574"/>
        <v>0.25</v>
      </c>
      <c r="P673" s="10"/>
      <c r="Q673" s="10"/>
      <c r="R673" s="10"/>
      <c r="S673" s="10"/>
      <c r="T673" s="10"/>
      <c r="U673" s="10"/>
      <c r="V673" s="10"/>
      <c r="W673" s="10"/>
      <c r="X673" s="10"/>
      <c r="Y673" s="10"/>
      <c r="Z673" s="10"/>
    </row>
    <row r="674" spans="1:26" s="9" customFormat="1" ht="15.75">
      <c r="A674" s="34" t="s">
        <v>140</v>
      </c>
      <c r="B674" s="18">
        <v>0</v>
      </c>
      <c r="C674" s="18">
        <v>0</v>
      </c>
      <c r="D674" s="18">
        <v>0</v>
      </c>
      <c r="E674" s="18">
        <v>0</v>
      </c>
      <c r="F674" s="18">
        <v>0</v>
      </c>
      <c r="G674" s="18">
        <v>0</v>
      </c>
      <c r="H674" s="18">
        <v>0</v>
      </c>
      <c r="I674" s="18">
        <v>0</v>
      </c>
      <c r="J674" s="18">
        <v>0</v>
      </c>
      <c r="K674" s="18">
        <v>0</v>
      </c>
      <c r="L674" s="18">
        <v>29</v>
      </c>
      <c r="M674" s="18">
        <v>0</v>
      </c>
      <c r="N674" s="133">
        <f t="shared" si="573"/>
        <v>29</v>
      </c>
      <c r="O674" s="19">
        <f t="shared" si="574"/>
        <v>2.4166666666666665</v>
      </c>
      <c r="P674" s="10"/>
      <c r="Q674" s="10"/>
      <c r="R674" s="10"/>
      <c r="S674" s="10"/>
      <c r="T674" s="10"/>
      <c r="U674" s="10"/>
      <c r="V674" s="10"/>
      <c r="W674" s="10"/>
      <c r="X674" s="10"/>
      <c r="Y674" s="10"/>
      <c r="Z674" s="10"/>
    </row>
    <row r="675" spans="1:26" s="9" customFormat="1" ht="15.75">
      <c r="A675" s="34" t="s">
        <v>141</v>
      </c>
      <c r="B675" s="291">
        <v>0</v>
      </c>
      <c r="C675" s="291">
        <v>0</v>
      </c>
      <c r="D675" s="291">
        <v>0</v>
      </c>
      <c r="E675" s="291">
        <v>0</v>
      </c>
      <c r="F675" s="291">
        <v>0</v>
      </c>
      <c r="G675" s="291">
        <v>0</v>
      </c>
      <c r="H675" s="291">
        <v>0</v>
      </c>
      <c r="I675" s="291">
        <v>0</v>
      </c>
      <c r="J675" s="291">
        <v>0</v>
      </c>
      <c r="K675" s="291">
        <v>0</v>
      </c>
      <c r="L675" s="291">
        <v>17.25</v>
      </c>
      <c r="M675" s="291">
        <v>0</v>
      </c>
      <c r="N675" s="216">
        <f t="shared" si="573"/>
        <v>17.25</v>
      </c>
      <c r="O675" s="216">
        <f t="shared" si="574"/>
        <v>1.4375</v>
      </c>
      <c r="P675" s="10"/>
      <c r="Q675" s="10"/>
      <c r="R675" s="10"/>
      <c r="S675" s="10"/>
      <c r="T675" s="10"/>
      <c r="U675" s="10"/>
      <c r="V675" s="10"/>
      <c r="W675" s="10"/>
      <c r="X675" s="10"/>
      <c r="Y675" s="10"/>
      <c r="Z675" s="10"/>
    </row>
    <row r="676" spans="1:26" s="191" customFormat="1" ht="15.75">
      <c r="A676" s="342" t="s">
        <v>309</v>
      </c>
      <c r="B676" s="350">
        <v>8.0266203703703701E-2</v>
      </c>
      <c r="C676" s="350">
        <v>0.12255787037037037</v>
      </c>
      <c r="D676" s="350">
        <v>2.5150462962962961E-2</v>
      </c>
      <c r="E676" s="350">
        <v>8.9166666666666672E-2</v>
      </c>
      <c r="F676" s="350">
        <v>4.0555555555555553E-2</v>
      </c>
      <c r="G676" s="350">
        <v>0.13554398148148147</v>
      </c>
      <c r="H676" s="350">
        <v>6.293981481481481E-2</v>
      </c>
      <c r="I676" s="350">
        <v>4.9317129629629634E-2</v>
      </c>
      <c r="J676" s="350">
        <v>9.7442129629629629E-2</v>
      </c>
      <c r="K676" s="350">
        <v>9.7766203703703702E-2</v>
      </c>
      <c r="L676" s="350">
        <v>0.11434027777777778</v>
      </c>
      <c r="M676" s="350">
        <v>0.10694444444444444</v>
      </c>
      <c r="N676" s="350">
        <f>SUM(B676:M676)</f>
        <v>1.0219907407407407</v>
      </c>
      <c r="O676" s="350">
        <f>IF(N676=0,0,AVERAGE(B676:M676))</f>
        <v>8.5165895061728392E-2</v>
      </c>
      <c r="P676" s="217"/>
      <c r="Q676" s="217"/>
      <c r="R676" s="217"/>
      <c r="S676" s="217"/>
      <c r="T676" s="217"/>
      <c r="U676" s="217"/>
      <c r="V676" s="217"/>
      <c r="W676" s="217"/>
      <c r="X676" s="217"/>
      <c r="Y676" s="217"/>
      <c r="Z676" s="217"/>
    </row>
    <row r="677" spans="1:26" s="9" customFormat="1">
      <c r="A677" s="30"/>
      <c r="B677" s="31"/>
      <c r="C677" s="31"/>
      <c r="D677" s="31"/>
      <c r="E677" s="32"/>
      <c r="F677" s="32"/>
      <c r="G677" s="32"/>
      <c r="H677" s="32"/>
      <c r="I677" s="32"/>
      <c r="J677" s="32"/>
      <c r="K677" s="32"/>
      <c r="L677" s="32"/>
      <c r="M677" s="281"/>
      <c r="N677" s="136"/>
      <c r="O677" s="13"/>
      <c r="P677" s="8"/>
      <c r="Q677" s="8"/>
      <c r="R677" s="8"/>
      <c r="S677" s="8"/>
      <c r="T677" s="8"/>
      <c r="U677" s="8"/>
      <c r="V677" s="8"/>
      <c r="W677" s="8"/>
      <c r="X677" s="8"/>
      <c r="Y677" s="8"/>
      <c r="Z677" s="8"/>
    </row>
    <row r="678" spans="1:26" s="9" customFormat="1" ht="15.75">
      <c r="A678" s="425" t="s">
        <v>380</v>
      </c>
      <c r="B678" s="426"/>
      <c r="C678" s="426"/>
      <c r="D678" s="426"/>
      <c r="E678" s="426"/>
      <c r="F678" s="426"/>
      <c r="G678" s="426"/>
      <c r="H678" s="426"/>
      <c r="I678" s="426"/>
      <c r="J678" s="426"/>
      <c r="K678" s="426"/>
      <c r="L678" s="426"/>
      <c r="M678" s="426"/>
      <c r="N678" s="427"/>
      <c r="O678" s="428"/>
      <c r="P678" s="8"/>
      <c r="Q678" s="8"/>
      <c r="R678" s="8"/>
      <c r="S678" s="8"/>
      <c r="T678" s="8"/>
      <c r="U678" s="8"/>
      <c r="V678" s="8"/>
      <c r="W678" s="8"/>
      <c r="X678" s="8"/>
      <c r="Y678" s="8"/>
      <c r="Z678" s="8"/>
    </row>
    <row r="679" spans="1:26" s="191" customFormat="1" ht="15.75">
      <c r="A679" s="218"/>
      <c r="B679" s="219"/>
      <c r="C679" s="219"/>
      <c r="D679" s="219"/>
      <c r="E679" s="220"/>
      <c r="F679" s="220"/>
      <c r="G679" s="220"/>
      <c r="H679" s="220"/>
      <c r="I679" s="220"/>
      <c r="J679" s="220"/>
      <c r="K679" s="220"/>
      <c r="L679" s="220"/>
      <c r="M679" s="220"/>
      <c r="N679" s="221"/>
      <c r="O679" s="222"/>
      <c r="P679" s="215"/>
      <c r="Q679" s="215"/>
      <c r="R679" s="215"/>
      <c r="S679" s="215"/>
      <c r="T679" s="215"/>
      <c r="U679" s="215"/>
      <c r="V679" s="215"/>
      <c r="W679" s="215"/>
      <c r="X679" s="215"/>
      <c r="Y679" s="215"/>
      <c r="Z679" s="215"/>
    </row>
    <row r="680" spans="1:26" s="9" customFormat="1" ht="15.75">
      <c r="A680" s="14" t="s">
        <v>593</v>
      </c>
      <c r="B680" s="15"/>
      <c r="C680" s="15"/>
      <c r="D680" s="15"/>
      <c r="E680" s="15"/>
      <c r="F680" s="15"/>
      <c r="G680" s="15"/>
      <c r="H680" s="15"/>
      <c r="I680" s="15"/>
      <c r="J680" s="15"/>
      <c r="K680" s="15"/>
      <c r="L680" s="15"/>
      <c r="M680" s="15"/>
      <c r="N680" s="132"/>
      <c r="O680" s="16"/>
      <c r="P680" s="8"/>
      <c r="Q680" s="8"/>
      <c r="R680" s="8"/>
      <c r="S680" s="8"/>
      <c r="T680" s="8"/>
      <c r="U680" s="8"/>
      <c r="V680" s="8"/>
      <c r="W680" s="8"/>
      <c r="X680" s="8"/>
      <c r="Y680" s="8"/>
      <c r="Z680" s="8"/>
    </row>
    <row r="681" spans="1:26" s="9" customFormat="1" ht="15.75">
      <c r="A681" s="60" t="s">
        <v>326</v>
      </c>
      <c r="B681" s="15"/>
      <c r="C681" s="15"/>
      <c r="D681" s="15"/>
      <c r="E681" s="15"/>
      <c r="F681" s="15"/>
      <c r="G681" s="15"/>
      <c r="H681" s="15"/>
      <c r="I681" s="15"/>
      <c r="J681" s="15"/>
      <c r="K681" s="15"/>
      <c r="L681" s="15"/>
      <c r="M681" s="15"/>
      <c r="N681" s="132"/>
      <c r="O681" s="16"/>
      <c r="P681" s="8"/>
      <c r="Q681" s="8"/>
      <c r="R681" s="8"/>
      <c r="S681" s="8"/>
      <c r="T681" s="8"/>
      <c r="U681" s="8"/>
      <c r="V681" s="8"/>
      <c r="W681" s="8"/>
      <c r="X681" s="8"/>
      <c r="Y681" s="8"/>
      <c r="Z681" s="8"/>
    </row>
    <row r="682" spans="1:26" s="9" customFormat="1" ht="15.75">
      <c r="A682" s="37" t="s">
        <v>18</v>
      </c>
      <c r="B682" s="18">
        <v>77</v>
      </c>
      <c r="C682" s="18">
        <v>129</v>
      </c>
      <c r="D682" s="18">
        <v>122</v>
      </c>
      <c r="E682" s="18">
        <v>27</v>
      </c>
      <c r="F682" s="18">
        <v>69</v>
      </c>
      <c r="G682" s="18">
        <v>144</v>
      </c>
      <c r="H682" s="18">
        <v>128</v>
      </c>
      <c r="I682" s="18">
        <v>209</v>
      </c>
      <c r="J682" s="81">
        <v>200</v>
      </c>
      <c r="K682" s="18">
        <v>155</v>
      </c>
      <c r="L682" s="18">
        <v>190</v>
      </c>
      <c r="M682" s="18">
        <v>137</v>
      </c>
      <c r="N682" s="133">
        <f>SUM(B682:M682)</f>
        <v>1587</v>
      </c>
      <c r="O682" s="19">
        <f>IF(N682=0,0,AVERAGE(B682:M682))</f>
        <v>132.25</v>
      </c>
      <c r="P682" s="8"/>
      <c r="Q682" s="8"/>
      <c r="R682" s="8"/>
      <c r="S682" s="8"/>
      <c r="T682" s="8"/>
      <c r="U682" s="8"/>
      <c r="V682" s="8"/>
      <c r="W682" s="8"/>
      <c r="X682" s="8"/>
      <c r="Y682" s="8"/>
      <c r="Z682" s="8"/>
    </row>
    <row r="683" spans="1:26" s="9" customFormat="1" ht="15.75">
      <c r="A683" s="37" t="s">
        <v>19</v>
      </c>
      <c r="B683" s="18">
        <v>69</v>
      </c>
      <c r="C683" s="18">
        <v>92</v>
      </c>
      <c r="D683" s="18">
        <v>4</v>
      </c>
      <c r="E683" s="18">
        <v>3</v>
      </c>
      <c r="F683" s="18">
        <v>4</v>
      </c>
      <c r="G683" s="18">
        <v>5</v>
      </c>
      <c r="H683" s="18">
        <v>5</v>
      </c>
      <c r="I683" s="18">
        <v>3</v>
      </c>
      <c r="J683" s="81">
        <v>4</v>
      </c>
      <c r="K683" s="18">
        <v>12</v>
      </c>
      <c r="L683" s="18">
        <v>4</v>
      </c>
      <c r="M683" s="18">
        <v>12</v>
      </c>
      <c r="N683" s="133">
        <f>SUM(B683:M683)</f>
        <v>217</v>
      </c>
      <c r="O683" s="19">
        <f>IF(N683=0,0,AVERAGE(B683:M683))</f>
        <v>18.083333333333332</v>
      </c>
      <c r="P683" s="8"/>
      <c r="Q683" s="8"/>
      <c r="R683" s="8"/>
      <c r="S683" s="8"/>
      <c r="T683" s="8"/>
      <c r="U683" s="8"/>
      <c r="V683" s="8"/>
      <c r="W683" s="8"/>
      <c r="X683" s="8"/>
      <c r="Y683" s="8"/>
      <c r="Z683" s="8"/>
    </row>
    <row r="684" spans="1:26" s="9" customFormat="1" ht="15.75">
      <c r="A684" s="37" t="s">
        <v>20</v>
      </c>
      <c r="B684" s="18">
        <v>0</v>
      </c>
      <c r="C684" s="18">
        <v>2</v>
      </c>
      <c r="D684" s="18">
        <v>6</v>
      </c>
      <c r="E684" s="18">
        <v>1</v>
      </c>
      <c r="F684" s="18">
        <v>0</v>
      </c>
      <c r="G684" s="18">
        <v>0</v>
      </c>
      <c r="H684" s="18">
        <v>1</v>
      </c>
      <c r="I684" s="18">
        <v>1</v>
      </c>
      <c r="J684" s="18">
        <v>4</v>
      </c>
      <c r="K684" s="18">
        <v>0</v>
      </c>
      <c r="L684" s="18">
        <v>0</v>
      </c>
      <c r="M684" s="18">
        <v>6</v>
      </c>
      <c r="N684" s="133">
        <f>SUM(B684:M684)</f>
        <v>21</v>
      </c>
      <c r="O684" s="19">
        <f>IF(N684=0,0,AVERAGE(B684:M684))</f>
        <v>1.75</v>
      </c>
      <c r="P684" s="8"/>
      <c r="Q684" s="8"/>
      <c r="R684" s="8"/>
      <c r="S684" s="8"/>
      <c r="T684" s="8"/>
      <c r="U684" s="8"/>
      <c r="V684" s="8"/>
      <c r="W684" s="8"/>
      <c r="X684" s="8"/>
      <c r="Y684" s="8"/>
      <c r="Z684" s="8"/>
    </row>
    <row r="685" spans="1:26" s="9" customFormat="1" ht="15.75">
      <c r="A685" s="56" t="s">
        <v>21</v>
      </c>
      <c r="B685" s="21">
        <f t="shared" ref="B685:C685" si="575">SUM(B682:B684)</f>
        <v>146</v>
      </c>
      <c r="C685" s="21">
        <f t="shared" si="575"/>
        <v>223</v>
      </c>
      <c r="D685" s="21">
        <f t="shared" ref="D685:E685" si="576">SUM(D682:D684)</f>
        <v>132</v>
      </c>
      <c r="E685" s="21">
        <f t="shared" si="576"/>
        <v>31</v>
      </c>
      <c r="F685" s="21">
        <f t="shared" ref="F685:G685" si="577">SUM(F682:F684)</f>
        <v>73</v>
      </c>
      <c r="G685" s="21">
        <f t="shared" si="577"/>
        <v>149</v>
      </c>
      <c r="H685" s="21">
        <f t="shared" ref="H685:I685" si="578">SUM(H682:H684)</f>
        <v>134</v>
      </c>
      <c r="I685" s="21">
        <f t="shared" si="578"/>
        <v>213</v>
      </c>
      <c r="J685" s="21">
        <f t="shared" ref="J685:K685" si="579">SUM(J682:J684)</f>
        <v>208</v>
      </c>
      <c r="K685" s="21">
        <f t="shared" si="579"/>
        <v>167</v>
      </c>
      <c r="L685" s="21">
        <f>SUM(L682:L684)</f>
        <v>194</v>
      </c>
      <c r="M685" s="21">
        <f>SUM(M682:M684)</f>
        <v>155</v>
      </c>
      <c r="N685" s="128">
        <f>SUM(N682:N683)</f>
        <v>1804</v>
      </c>
      <c r="O685" s="22">
        <f>SUM(O682:O683)</f>
        <v>150.33333333333334</v>
      </c>
      <c r="P685" s="8"/>
      <c r="Q685" s="8"/>
      <c r="R685" s="8"/>
      <c r="S685" s="8"/>
      <c r="T685" s="8"/>
      <c r="U685" s="8"/>
      <c r="V685" s="8"/>
      <c r="W685" s="8"/>
      <c r="X685" s="8"/>
      <c r="Y685" s="8"/>
      <c r="Z685" s="8"/>
    </row>
    <row r="686" spans="1:26" s="9" customFormat="1" ht="15.75">
      <c r="A686" s="56" t="s">
        <v>112</v>
      </c>
      <c r="B686" s="22">
        <f t="shared" ref="B686:G686" si="580">IF(B685=0,"",B685/B$1676)</f>
        <v>4.709677419354839</v>
      </c>
      <c r="C686" s="22">
        <f t="shared" si="580"/>
        <v>7.9642857142857144</v>
      </c>
      <c r="D686" s="22">
        <f t="shared" si="580"/>
        <v>4.258064516129032</v>
      </c>
      <c r="E686" s="22">
        <f t="shared" si="580"/>
        <v>1.0333333333333334</v>
      </c>
      <c r="F686" s="22">
        <f t="shared" si="580"/>
        <v>2.3548387096774195</v>
      </c>
      <c r="G686" s="22">
        <f t="shared" si="580"/>
        <v>4.9666666666666668</v>
      </c>
      <c r="H686" s="22">
        <f t="shared" ref="H686:I686" si="581">IF(H685=0,"",H685/H$1676)</f>
        <v>4.32258064516129</v>
      </c>
      <c r="I686" s="22">
        <f t="shared" si="581"/>
        <v>6.870967741935484</v>
      </c>
      <c r="J686" s="22">
        <f t="shared" ref="J686:K686" si="582">IF(J685=0,"",J685/J$1676)</f>
        <v>6.9333333333333336</v>
      </c>
      <c r="K686" s="22">
        <f t="shared" si="582"/>
        <v>5.387096774193548</v>
      </c>
      <c r="L686" s="22">
        <f>IF(L685=0,"",L685/L$1676)</f>
        <v>6.4666666666666668</v>
      </c>
      <c r="M686" s="22">
        <f>IF(M685=0,"",M685/M$1676)</f>
        <v>5</v>
      </c>
      <c r="N686" s="128">
        <f>SUM(B686:M686)</f>
        <v>60.267511520737344</v>
      </c>
      <c r="O686" s="22">
        <f>IF(N686=0,0,AVERAGE(B686:M686))</f>
        <v>5.0222926267281123</v>
      </c>
      <c r="P686" s="8"/>
      <c r="Q686" s="8"/>
      <c r="R686" s="8"/>
      <c r="S686" s="8"/>
      <c r="T686" s="8"/>
      <c r="U686" s="8"/>
      <c r="V686" s="8"/>
      <c r="W686" s="8"/>
      <c r="X686" s="8"/>
      <c r="Y686" s="8"/>
      <c r="Z686" s="8"/>
    </row>
    <row r="687" spans="1:26" s="9" customFormat="1" ht="15.75">
      <c r="A687" s="87"/>
      <c r="B687" s="88"/>
      <c r="C687" s="88"/>
      <c r="D687" s="88"/>
      <c r="E687" s="88"/>
      <c r="F687" s="88"/>
      <c r="G687" s="88"/>
      <c r="H687" s="88"/>
      <c r="I687" s="89"/>
      <c r="J687" s="89"/>
      <c r="K687" s="89"/>
      <c r="L687" s="89"/>
      <c r="M687" s="89"/>
      <c r="N687" s="149"/>
      <c r="O687" s="13"/>
      <c r="P687" s="8"/>
      <c r="Q687" s="8"/>
      <c r="R687" s="8"/>
      <c r="S687" s="8"/>
      <c r="T687" s="8"/>
      <c r="U687" s="8"/>
      <c r="V687" s="8"/>
      <c r="W687" s="8"/>
      <c r="X687" s="8"/>
      <c r="Y687" s="8"/>
      <c r="Z687" s="8"/>
    </row>
    <row r="688" spans="1:26" s="9" customFormat="1" ht="15.75">
      <c r="A688" s="60" t="s">
        <v>321</v>
      </c>
      <c r="B688" s="15"/>
      <c r="C688" s="15"/>
      <c r="D688" s="15"/>
      <c r="E688" s="15"/>
      <c r="F688" s="15"/>
      <c r="G688" s="15"/>
      <c r="H688" s="15"/>
      <c r="I688" s="15"/>
      <c r="J688" s="15"/>
      <c r="K688" s="15"/>
      <c r="L688" s="15"/>
      <c r="M688" s="15"/>
      <c r="N688" s="132"/>
      <c r="O688" s="16"/>
      <c r="P688" s="8"/>
      <c r="Q688" s="8"/>
      <c r="R688" s="8"/>
      <c r="S688" s="8"/>
      <c r="T688" s="8"/>
      <c r="U688" s="8"/>
      <c r="V688" s="8"/>
      <c r="W688" s="8"/>
      <c r="X688" s="8"/>
      <c r="Y688" s="8"/>
      <c r="Z688" s="8"/>
    </row>
    <row r="689" spans="1:26" s="9" customFormat="1" ht="15.75">
      <c r="A689" s="34" t="s">
        <v>114</v>
      </c>
      <c r="B689" s="18">
        <v>130</v>
      </c>
      <c r="C689" s="18">
        <v>204</v>
      </c>
      <c r="D689" s="18">
        <v>163</v>
      </c>
      <c r="E689" s="18">
        <v>72</v>
      </c>
      <c r="F689" s="18">
        <v>91</v>
      </c>
      <c r="G689" s="18">
        <v>182</v>
      </c>
      <c r="H689" s="18">
        <v>160</v>
      </c>
      <c r="I689" s="18">
        <v>200</v>
      </c>
      <c r="J689" s="18">
        <v>131</v>
      </c>
      <c r="K689" s="18">
        <v>206</v>
      </c>
      <c r="L689" s="18">
        <v>115</v>
      </c>
      <c r="M689" s="18">
        <v>169</v>
      </c>
      <c r="N689" s="133">
        <f>SUM(B689:M689)</f>
        <v>1823</v>
      </c>
      <c r="O689" s="19">
        <f>IF(N689=0,0,AVERAGE(B689:M689))</f>
        <v>151.91666666666666</v>
      </c>
      <c r="P689" s="8"/>
      <c r="Q689" s="8"/>
      <c r="R689" s="8"/>
      <c r="S689" s="8"/>
      <c r="T689" s="8"/>
      <c r="U689" s="8"/>
      <c r="V689" s="8"/>
      <c r="W689" s="8"/>
      <c r="X689" s="8"/>
      <c r="Y689" s="8"/>
      <c r="Z689" s="8"/>
    </row>
    <row r="690" spans="1:26" s="9" customFormat="1" ht="15.75">
      <c r="A690" s="56" t="s">
        <v>21</v>
      </c>
      <c r="B690" s="21">
        <f t="shared" ref="B690:C690" si="583">SUM(B689)</f>
        <v>130</v>
      </c>
      <c r="C690" s="21">
        <f t="shared" si="583"/>
        <v>204</v>
      </c>
      <c r="D690" s="21">
        <f t="shared" ref="D690:E690" si="584">SUM(D689)</f>
        <v>163</v>
      </c>
      <c r="E690" s="21">
        <f t="shared" si="584"/>
        <v>72</v>
      </c>
      <c r="F690" s="21">
        <f t="shared" ref="F690:G690" si="585">SUM(F689)</f>
        <v>91</v>
      </c>
      <c r="G690" s="21">
        <f t="shared" si="585"/>
        <v>182</v>
      </c>
      <c r="H690" s="21">
        <f t="shared" ref="H690:I690" si="586">SUM(H689)</f>
        <v>160</v>
      </c>
      <c r="I690" s="21">
        <f t="shared" si="586"/>
        <v>200</v>
      </c>
      <c r="J690" s="21">
        <f t="shared" ref="J690:K690" si="587">SUM(J689)</f>
        <v>131</v>
      </c>
      <c r="K690" s="21">
        <f t="shared" si="587"/>
        <v>206</v>
      </c>
      <c r="L690" s="21">
        <f t="shared" ref="L690:M690" si="588">SUM(L689)</f>
        <v>115</v>
      </c>
      <c r="M690" s="21">
        <f t="shared" si="588"/>
        <v>169</v>
      </c>
      <c r="N690" s="128">
        <f>SUM(N689)</f>
        <v>1823</v>
      </c>
      <c r="O690" s="22">
        <f>SUM(O689)</f>
        <v>151.91666666666666</v>
      </c>
      <c r="P690" s="8"/>
      <c r="Q690" s="8"/>
      <c r="R690" s="8"/>
      <c r="S690" s="8"/>
      <c r="T690" s="8"/>
      <c r="U690" s="8"/>
      <c r="V690" s="8"/>
      <c r="W690" s="8"/>
      <c r="X690" s="8"/>
      <c r="Y690" s="8"/>
      <c r="Z690" s="8"/>
    </row>
    <row r="691" spans="1:26" s="9" customFormat="1" ht="15.75">
      <c r="A691" s="56" t="s">
        <v>112</v>
      </c>
      <c r="B691" s="22">
        <f t="shared" ref="B691:G691" si="589">IF(B690=0,"",B690/B$1676)</f>
        <v>4.193548387096774</v>
      </c>
      <c r="C691" s="22">
        <f t="shared" si="589"/>
        <v>7.2857142857142856</v>
      </c>
      <c r="D691" s="22">
        <f t="shared" si="589"/>
        <v>5.258064516129032</v>
      </c>
      <c r="E691" s="22">
        <f t="shared" si="589"/>
        <v>2.4</v>
      </c>
      <c r="F691" s="22">
        <f t="shared" si="589"/>
        <v>2.935483870967742</v>
      </c>
      <c r="G691" s="22">
        <f t="shared" si="589"/>
        <v>6.0666666666666664</v>
      </c>
      <c r="H691" s="22">
        <f t="shared" ref="H691:I691" si="590">IF(H690=0,"",H690/H$1676)</f>
        <v>5.161290322580645</v>
      </c>
      <c r="I691" s="22">
        <f t="shared" si="590"/>
        <v>6.4516129032258061</v>
      </c>
      <c r="J691" s="22">
        <f t="shared" ref="J691:K691" si="591">IF(J690=0,"",J690/J$1676)</f>
        <v>4.3666666666666663</v>
      </c>
      <c r="K691" s="22">
        <f t="shared" si="591"/>
        <v>6.645161290322581</v>
      </c>
      <c r="L691" s="22">
        <f t="shared" ref="L691:M691" si="592">IF(L690=0,"",L690/L$1676)</f>
        <v>3.8333333333333335</v>
      </c>
      <c r="M691" s="22">
        <f t="shared" si="592"/>
        <v>5.4516129032258061</v>
      </c>
      <c r="N691" s="128">
        <f>SUM(B691:M691)</f>
        <v>60.049155145929348</v>
      </c>
      <c r="O691" s="22">
        <f>IF(N691=0,0,AVERAGE(B691:M691))</f>
        <v>5.004096262160779</v>
      </c>
      <c r="P691" s="8"/>
      <c r="Q691" s="8"/>
      <c r="R691" s="8"/>
      <c r="S691" s="8"/>
      <c r="T691" s="8"/>
      <c r="U691" s="8"/>
      <c r="V691" s="8"/>
      <c r="W691" s="8"/>
      <c r="X691" s="8"/>
      <c r="Y691" s="8"/>
      <c r="Z691" s="8"/>
    </row>
    <row r="692" spans="1:26" s="9" customFormat="1" ht="15.75">
      <c r="A692" s="87"/>
      <c r="B692" s="88"/>
      <c r="C692" s="88"/>
      <c r="D692" s="88"/>
      <c r="E692" s="88"/>
      <c r="F692" s="88"/>
      <c r="G692" s="88"/>
      <c r="H692" s="88"/>
      <c r="I692" s="88"/>
      <c r="J692" s="88"/>
      <c r="K692" s="88"/>
      <c r="L692" s="88"/>
      <c r="M692" s="88"/>
      <c r="N692" s="149"/>
      <c r="O692" s="13"/>
      <c r="P692" s="8"/>
      <c r="Q692" s="8"/>
      <c r="R692" s="8"/>
      <c r="S692" s="8"/>
      <c r="T692" s="8"/>
      <c r="U692" s="8"/>
      <c r="V692" s="8"/>
      <c r="W692" s="8"/>
      <c r="X692" s="8"/>
      <c r="Y692" s="8"/>
      <c r="Z692" s="8"/>
    </row>
    <row r="693" spans="1:26" s="9" customFormat="1" ht="15.75">
      <c r="A693" s="90" t="s">
        <v>153</v>
      </c>
      <c r="B693" s="86">
        <f t="shared" ref="B693:C693" si="593">B685</f>
        <v>146</v>
      </c>
      <c r="C693" s="86">
        <f t="shared" si="593"/>
        <v>223</v>
      </c>
      <c r="D693" s="86">
        <f t="shared" ref="D693:E693" si="594">D685</f>
        <v>132</v>
      </c>
      <c r="E693" s="86">
        <f t="shared" si="594"/>
        <v>31</v>
      </c>
      <c r="F693" s="86">
        <f t="shared" ref="F693:G693" si="595">F685</f>
        <v>73</v>
      </c>
      <c r="G693" s="86">
        <f t="shared" si="595"/>
        <v>149</v>
      </c>
      <c r="H693" s="86">
        <f t="shared" ref="H693:I693" si="596">H685</f>
        <v>134</v>
      </c>
      <c r="I693" s="86">
        <f t="shared" si="596"/>
        <v>213</v>
      </c>
      <c r="J693" s="86">
        <f t="shared" ref="J693:K693" si="597">J685</f>
        <v>208</v>
      </c>
      <c r="K693" s="86">
        <f t="shared" si="597"/>
        <v>167</v>
      </c>
      <c r="L693" s="86">
        <f>L685</f>
        <v>194</v>
      </c>
      <c r="M693" s="86">
        <f>M685</f>
        <v>155</v>
      </c>
      <c r="N693" s="133">
        <f>SUM(B693:M693)</f>
        <v>1825</v>
      </c>
      <c r="O693" s="19">
        <f>IF(N693=0,0,AVERAGE(B693:M693))</f>
        <v>152.08333333333334</v>
      </c>
      <c r="P693" s="8"/>
      <c r="Q693" s="8"/>
      <c r="R693" s="8"/>
      <c r="S693" s="8"/>
      <c r="T693" s="8"/>
      <c r="U693" s="8"/>
      <c r="V693" s="8"/>
      <c r="W693" s="8"/>
      <c r="X693" s="8"/>
      <c r="Y693" s="8"/>
      <c r="Z693" s="8"/>
    </row>
    <row r="694" spans="1:26" s="9" customFormat="1" ht="15.75">
      <c r="A694" s="90" t="s">
        <v>154</v>
      </c>
      <c r="B694" s="86">
        <f t="shared" ref="B694:C694" si="598">B690</f>
        <v>130</v>
      </c>
      <c r="C694" s="86">
        <f t="shared" si="598"/>
        <v>204</v>
      </c>
      <c r="D694" s="86">
        <f t="shared" ref="D694:E694" si="599">D690</f>
        <v>163</v>
      </c>
      <c r="E694" s="86">
        <f t="shared" si="599"/>
        <v>72</v>
      </c>
      <c r="F694" s="86">
        <f t="shared" ref="F694:G694" si="600">F690</f>
        <v>91</v>
      </c>
      <c r="G694" s="86">
        <f t="shared" si="600"/>
        <v>182</v>
      </c>
      <c r="H694" s="86">
        <f t="shared" ref="H694:I694" si="601">H690</f>
        <v>160</v>
      </c>
      <c r="I694" s="86">
        <f t="shared" si="601"/>
        <v>200</v>
      </c>
      <c r="J694" s="86">
        <f t="shared" ref="J694:K694" si="602">J690</f>
        <v>131</v>
      </c>
      <c r="K694" s="86">
        <f t="shared" si="602"/>
        <v>206</v>
      </c>
      <c r="L694" s="86">
        <f t="shared" ref="L694:M694" si="603">L690</f>
        <v>115</v>
      </c>
      <c r="M694" s="86">
        <f t="shared" si="603"/>
        <v>169</v>
      </c>
      <c r="N694" s="133">
        <f>SUM(B694:M694)</f>
        <v>1823</v>
      </c>
      <c r="O694" s="19">
        <f>IF(N694=0,0,AVERAGE(B694:M694))</f>
        <v>151.91666666666666</v>
      </c>
      <c r="P694" s="8"/>
      <c r="Q694" s="8"/>
      <c r="R694" s="8"/>
      <c r="S694" s="8"/>
      <c r="T694" s="8"/>
      <c r="U694" s="8"/>
      <c r="V694" s="8"/>
      <c r="W694" s="8"/>
      <c r="X694" s="8"/>
      <c r="Y694" s="8"/>
      <c r="Z694" s="8"/>
    </row>
    <row r="695" spans="1:26" s="9" customFormat="1" ht="15.75">
      <c r="A695" s="342" t="s">
        <v>155</v>
      </c>
      <c r="B695" s="333">
        <f t="shared" ref="B695:C695" si="604">SUM(B693:B694)</f>
        <v>276</v>
      </c>
      <c r="C695" s="333">
        <f t="shared" si="604"/>
        <v>427</v>
      </c>
      <c r="D695" s="333">
        <f t="shared" ref="D695:E695" si="605">SUM(D693:D694)</f>
        <v>295</v>
      </c>
      <c r="E695" s="333">
        <f t="shared" si="605"/>
        <v>103</v>
      </c>
      <c r="F695" s="333">
        <f t="shared" ref="F695:G695" si="606">SUM(F693:F694)</f>
        <v>164</v>
      </c>
      <c r="G695" s="333">
        <f t="shared" si="606"/>
        <v>331</v>
      </c>
      <c r="H695" s="333">
        <f t="shared" ref="H695:I695" si="607">SUM(H693:H694)</f>
        <v>294</v>
      </c>
      <c r="I695" s="333">
        <f t="shared" si="607"/>
        <v>413</v>
      </c>
      <c r="J695" s="333">
        <f t="shared" ref="J695:K695" si="608">SUM(J693:J694)</f>
        <v>339</v>
      </c>
      <c r="K695" s="333">
        <f t="shared" si="608"/>
        <v>373</v>
      </c>
      <c r="L695" s="333">
        <f t="shared" ref="L695:M695" si="609">SUM(L693:L694)</f>
        <v>309</v>
      </c>
      <c r="M695" s="333">
        <f t="shared" si="609"/>
        <v>324</v>
      </c>
      <c r="N695" s="334">
        <f>SUM(N693:N694)</f>
        <v>3648</v>
      </c>
      <c r="O695" s="335">
        <f>SUM(O693:O694)</f>
        <v>304</v>
      </c>
      <c r="P695" s="8"/>
      <c r="Q695" s="8"/>
      <c r="R695" s="8"/>
      <c r="S695" s="8"/>
      <c r="T695" s="8"/>
      <c r="U695" s="8"/>
      <c r="V695" s="8"/>
      <c r="W695" s="8"/>
      <c r="X695" s="8"/>
      <c r="Y695" s="8"/>
      <c r="Z695" s="8"/>
    </row>
    <row r="696" spans="1:26" s="9" customFormat="1" ht="15.75">
      <c r="A696" s="180"/>
      <c r="B696" s="279"/>
      <c r="C696" s="279"/>
      <c r="D696" s="279"/>
      <c r="E696" s="279"/>
      <c r="F696" s="279"/>
      <c r="G696" s="279"/>
      <c r="H696" s="279"/>
      <c r="I696" s="279"/>
      <c r="J696" s="279"/>
      <c r="K696" s="279"/>
      <c r="L696" s="279"/>
      <c r="M696" s="279"/>
      <c r="N696" s="280"/>
      <c r="O696" s="125"/>
      <c r="P696" s="8"/>
      <c r="Q696" s="8"/>
      <c r="R696" s="8"/>
      <c r="S696" s="8"/>
      <c r="T696" s="8"/>
      <c r="U696" s="8"/>
      <c r="V696" s="8"/>
      <c r="W696" s="8"/>
      <c r="X696" s="8"/>
      <c r="Y696" s="8"/>
      <c r="Z696" s="8"/>
    </row>
    <row r="697" spans="1:26" s="9" customFormat="1" ht="15.75">
      <c r="A697" s="352" t="s">
        <v>661</v>
      </c>
      <c r="B697" s="353"/>
      <c r="C697" s="353"/>
      <c r="D697" s="353"/>
      <c r="E697" s="353"/>
      <c r="F697" s="353"/>
      <c r="G697" s="353"/>
      <c r="H697" s="353"/>
      <c r="I697" s="353"/>
      <c r="J697" s="353"/>
      <c r="K697" s="353"/>
      <c r="L697" s="353"/>
      <c r="M697" s="353"/>
      <c r="N697" s="354"/>
      <c r="O697" s="355"/>
      <c r="P697" s="8"/>
      <c r="Q697" s="8"/>
      <c r="R697" s="8"/>
      <c r="S697" s="8"/>
      <c r="T697" s="8"/>
      <c r="U697" s="8"/>
      <c r="V697" s="8"/>
      <c r="W697" s="8"/>
      <c r="X697" s="8"/>
      <c r="Y697" s="8"/>
      <c r="Z697" s="8"/>
    </row>
    <row r="698" spans="1:26" s="9" customFormat="1" ht="15.75">
      <c r="A698" s="356" t="s">
        <v>320</v>
      </c>
      <c r="B698" s="353"/>
      <c r="C698" s="353"/>
      <c r="D698" s="353"/>
      <c r="E698" s="353"/>
      <c r="F698" s="353"/>
      <c r="G698" s="353"/>
      <c r="H698" s="353"/>
      <c r="I698" s="353"/>
      <c r="J698" s="353"/>
      <c r="K698" s="353"/>
      <c r="L698" s="353"/>
      <c r="M698" s="353"/>
      <c r="N698" s="354"/>
      <c r="O698" s="355"/>
      <c r="P698" s="8"/>
      <c r="Q698" s="8"/>
      <c r="R698" s="8"/>
      <c r="S698" s="8"/>
      <c r="T698" s="8"/>
      <c r="U698" s="8"/>
      <c r="V698" s="8"/>
      <c r="W698" s="8"/>
      <c r="X698" s="8"/>
      <c r="Y698" s="8"/>
      <c r="Z698" s="8"/>
    </row>
    <row r="699" spans="1:26" s="9" customFormat="1" ht="15.75">
      <c r="A699" s="327" t="s">
        <v>119</v>
      </c>
      <c r="B699" s="18">
        <v>0</v>
      </c>
      <c r="C699" s="18">
        <v>0</v>
      </c>
      <c r="D699" s="18">
        <v>0</v>
      </c>
      <c r="E699" s="18">
        <v>0</v>
      </c>
      <c r="F699" s="18">
        <v>0</v>
      </c>
      <c r="G699" s="18">
        <v>0</v>
      </c>
      <c r="H699" s="18">
        <v>0</v>
      </c>
      <c r="I699" s="18">
        <v>0</v>
      </c>
      <c r="J699" s="18">
        <v>0</v>
      </c>
      <c r="K699" s="18">
        <v>0</v>
      </c>
      <c r="L699" s="18">
        <v>0</v>
      </c>
      <c r="M699" s="18">
        <v>0</v>
      </c>
      <c r="N699" s="133">
        <f>SUM(B699:M699)</f>
        <v>0</v>
      </c>
      <c r="O699" s="19">
        <f>IF(N699=0,0,AVERAGE(B699:M699))</f>
        <v>0</v>
      </c>
      <c r="P699" s="8"/>
      <c r="Q699" s="8"/>
      <c r="R699" s="8"/>
      <c r="S699" s="8"/>
      <c r="T699" s="8"/>
      <c r="U699" s="8"/>
      <c r="V699" s="8"/>
      <c r="W699" s="8"/>
      <c r="X699" s="8"/>
      <c r="Y699" s="8"/>
      <c r="Z699" s="8"/>
    </row>
    <row r="700" spans="1:26" s="9" customFormat="1" ht="15.75">
      <c r="A700" s="327" t="s">
        <v>18</v>
      </c>
      <c r="B700" s="18">
        <v>0</v>
      </c>
      <c r="C700" s="18">
        <v>0</v>
      </c>
      <c r="D700" s="18">
        <v>0</v>
      </c>
      <c r="E700" s="18">
        <v>0</v>
      </c>
      <c r="F700" s="18">
        <v>0</v>
      </c>
      <c r="G700" s="18">
        <v>0</v>
      </c>
      <c r="H700" s="18">
        <v>0</v>
      </c>
      <c r="I700" s="18">
        <v>0</v>
      </c>
      <c r="J700" s="18">
        <v>0</v>
      </c>
      <c r="K700" s="18">
        <v>0</v>
      </c>
      <c r="L700" s="18">
        <v>0</v>
      </c>
      <c r="M700" s="18">
        <v>0</v>
      </c>
      <c r="N700" s="133">
        <f>SUM(B700:M700)</f>
        <v>0</v>
      </c>
      <c r="O700" s="19">
        <f>IF(N700=0,0,AVERAGE(B700:M700))</f>
        <v>0</v>
      </c>
      <c r="P700" s="8"/>
      <c r="Q700" s="8"/>
      <c r="R700" s="8"/>
      <c r="S700" s="8"/>
      <c r="T700" s="8"/>
      <c r="U700" s="8"/>
      <c r="V700" s="8"/>
      <c r="W700" s="8"/>
      <c r="X700" s="8"/>
      <c r="Y700" s="8"/>
      <c r="Z700" s="8"/>
    </row>
    <row r="701" spans="1:26" s="9" customFormat="1" ht="15.75">
      <c r="A701" s="327" t="s">
        <v>19</v>
      </c>
      <c r="B701" s="18">
        <v>0</v>
      </c>
      <c r="C701" s="18">
        <v>0</v>
      </c>
      <c r="D701" s="18">
        <v>0</v>
      </c>
      <c r="E701" s="18">
        <v>0</v>
      </c>
      <c r="F701" s="18">
        <v>0</v>
      </c>
      <c r="G701" s="18">
        <v>0</v>
      </c>
      <c r="H701" s="18">
        <v>0</v>
      </c>
      <c r="I701" s="18">
        <v>0</v>
      </c>
      <c r="J701" s="18">
        <v>0</v>
      </c>
      <c r="K701" s="18">
        <v>0</v>
      </c>
      <c r="L701" s="18">
        <v>0</v>
      </c>
      <c r="M701" s="18">
        <v>0</v>
      </c>
      <c r="N701" s="133">
        <f>SUM(B701:M701)</f>
        <v>0</v>
      </c>
      <c r="O701" s="19">
        <f>IF(N701=0,0,AVERAGE(B701:M701))</f>
        <v>0</v>
      </c>
      <c r="P701" s="8"/>
      <c r="Q701" s="8"/>
      <c r="R701" s="8"/>
      <c r="S701" s="8"/>
      <c r="T701" s="8"/>
      <c r="U701" s="8"/>
      <c r="V701" s="8"/>
      <c r="W701" s="8"/>
      <c r="X701" s="8"/>
      <c r="Y701" s="8"/>
      <c r="Z701" s="8"/>
    </row>
    <row r="702" spans="1:26" s="9" customFormat="1" ht="15.75">
      <c r="A702" s="327" t="s">
        <v>20</v>
      </c>
      <c r="B702" s="18">
        <v>0</v>
      </c>
      <c r="C702" s="18">
        <v>0</v>
      </c>
      <c r="D702" s="18">
        <v>0</v>
      </c>
      <c r="E702" s="18">
        <v>0</v>
      </c>
      <c r="F702" s="18">
        <v>0</v>
      </c>
      <c r="G702" s="18">
        <v>0</v>
      </c>
      <c r="H702" s="18">
        <v>0</v>
      </c>
      <c r="I702" s="18">
        <v>0</v>
      </c>
      <c r="J702" s="18">
        <v>0</v>
      </c>
      <c r="K702" s="18">
        <v>0</v>
      </c>
      <c r="L702" s="18">
        <v>0</v>
      </c>
      <c r="M702" s="18">
        <v>0</v>
      </c>
      <c r="N702" s="133">
        <f>SUM(B702:M702)</f>
        <v>0</v>
      </c>
      <c r="O702" s="19">
        <f>IF(N702=0,0,AVERAGE(B702:M702))</f>
        <v>0</v>
      </c>
      <c r="P702" s="8"/>
      <c r="Q702" s="8"/>
      <c r="R702" s="8"/>
      <c r="S702" s="8"/>
      <c r="T702" s="8"/>
      <c r="U702" s="8"/>
      <c r="V702" s="8"/>
      <c r="W702" s="8"/>
      <c r="X702" s="8"/>
      <c r="Y702" s="8"/>
      <c r="Z702" s="8"/>
    </row>
    <row r="703" spans="1:26" s="9" customFormat="1" ht="15.75">
      <c r="A703" s="342" t="s">
        <v>21</v>
      </c>
      <c r="B703" s="333">
        <f t="shared" ref="B703:C703" si="610">SUM(B699:B702)</f>
        <v>0</v>
      </c>
      <c r="C703" s="333">
        <f t="shared" si="610"/>
        <v>0</v>
      </c>
      <c r="D703" s="333">
        <f t="shared" ref="D703:E703" si="611">SUM(D699:D702)</f>
        <v>0</v>
      </c>
      <c r="E703" s="333">
        <f t="shared" si="611"/>
        <v>0</v>
      </c>
      <c r="F703" s="333">
        <f t="shared" ref="F703:G703" si="612">SUM(F699:F702)</f>
        <v>0</v>
      </c>
      <c r="G703" s="333">
        <f t="shared" si="612"/>
        <v>0</v>
      </c>
      <c r="H703" s="333">
        <f t="shared" ref="H703:I703" si="613">SUM(H699:H702)</f>
        <v>0</v>
      </c>
      <c r="I703" s="333">
        <f t="shared" si="613"/>
        <v>0</v>
      </c>
      <c r="J703" s="333">
        <f t="shared" ref="J703:K703" si="614">SUM(J699:J702)</f>
        <v>0</v>
      </c>
      <c r="K703" s="333">
        <f t="shared" si="614"/>
        <v>0</v>
      </c>
      <c r="L703" s="333">
        <f t="shared" ref="L703:M703" si="615">SUM(L699:L702)</f>
        <v>0</v>
      </c>
      <c r="M703" s="333">
        <f t="shared" si="615"/>
        <v>0</v>
      </c>
      <c r="N703" s="334">
        <f>SUM(N699:N701)</f>
        <v>0</v>
      </c>
      <c r="O703" s="335">
        <f>SUM(O699:O701)</f>
        <v>0</v>
      </c>
      <c r="P703" s="8"/>
      <c r="Q703" s="8"/>
      <c r="R703" s="8"/>
      <c r="S703" s="8"/>
      <c r="T703" s="8"/>
      <c r="U703" s="8"/>
      <c r="V703" s="8"/>
      <c r="W703" s="8"/>
      <c r="X703" s="8"/>
      <c r="Y703" s="8"/>
      <c r="Z703" s="8"/>
    </row>
    <row r="704" spans="1:26" s="9" customFormat="1" ht="15.75">
      <c r="A704" s="342" t="s">
        <v>112</v>
      </c>
      <c r="B704" s="333" t="s">
        <v>44</v>
      </c>
      <c r="C704" s="333" t="s">
        <v>44</v>
      </c>
      <c r="D704" s="333" t="s">
        <v>44</v>
      </c>
      <c r="E704" s="333" t="s">
        <v>44</v>
      </c>
      <c r="F704" s="333" t="s">
        <v>44</v>
      </c>
      <c r="G704" s="333" t="s">
        <v>44</v>
      </c>
      <c r="H704" s="333" t="s">
        <v>44</v>
      </c>
      <c r="I704" s="333" t="s">
        <v>44</v>
      </c>
      <c r="J704" s="333" t="s">
        <v>44</v>
      </c>
      <c r="K704" s="333" t="s">
        <v>44</v>
      </c>
      <c r="L704" s="333" t="s">
        <v>44</v>
      </c>
      <c r="M704" s="333" t="s">
        <v>44</v>
      </c>
      <c r="N704" s="334">
        <f>SUM(B704:M704)</f>
        <v>0</v>
      </c>
      <c r="O704" s="335">
        <f>IF(N704=0,0,AVERAGE(B704:M704))</f>
        <v>0</v>
      </c>
      <c r="P704" s="8"/>
      <c r="Q704" s="8"/>
      <c r="R704" s="8"/>
      <c r="S704" s="8"/>
      <c r="T704" s="8"/>
      <c r="U704" s="8"/>
      <c r="V704" s="8"/>
      <c r="W704" s="8"/>
      <c r="X704" s="8"/>
      <c r="Y704" s="8"/>
      <c r="Z704" s="8"/>
    </row>
    <row r="705" spans="1:26" s="9" customFormat="1" ht="15.75">
      <c r="A705" s="328"/>
      <c r="B705" s="329"/>
      <c r="C705" s="329"/>
      <c r="D705" s="329"/>
      <c r="E705" s="329"/>
      <c r="F705" s="329"/>
      <c r="G705" s="329"/>
      <c r="H705" s="329"/>
      <c r="I705" s="329"/>
      <c r="J705" s="329"/>
      <c r="K705" s="329"/>
      <c r="L705" s="329"/>
      <c r="M705" s="329"/>
      <c r="N705" s="330"/>
      <c r="O705" s="40"/>
      <c r="P705" s="8"/>
      <c r="Q705" s="8"/>
      <c r="R705" s="8"/>
      <c r="S705" s="8"/>
      <c r="T705" s="8"/>
      <c r="U705" s="8"/>
      <c r="V705" s="8"/>
      <c r="W705" s="8"/>
      <c r="X705" s="8"/>
      <c r="Y705" s="8"/>
      <c r="Z705" s="8"/>
    </row>
    <row r="706" spans="1:26" s="9" customFormat="1" ht="15.75">
      <c r="A706" s="326" t="s">
        <v>327</v>
      </c>
      <c r="B706" s="318"/>
      <c r="C706" s="318"/>
      <c r="D706" s="318"/>
      <c r="E706" s="318"/>
      <c r="F706" s="318"/>
      <c r="G706" s="318"/>
      <c r="H706" s="318"/>
      <c r="I706" s="318"/>
      <c r="J706" s="318"/>
      <c r="K706" s="318"/>
      <c r="L706" s="318"/>
      <c r="M706" s="318"/>
      <c r="N706" s="319"/>
      <c r="O706" s="320"/>
      <c r="P706" s="8"/>
      <c r="Q706" s="8"/>
      <c r="R706" s="8"/>
      <c r="S706" s="8"/>
      <c r="T706" s="8"/>
      <c r="U706" s="8"/>
      <c r="V706" s="8"/>
      <c r="W706" s="8"/>
      <c r="X706" s="8"/>
      <c r="Y706" s="8"/>
      <c r="Z706" s="8"/>
    </row>
    <row r="707" spans="1:26" s="9" customFormat="1" ht="15.75">
      <c r="A707" s="104" t="s">
        <v>114</v>
      </c>
      <c r="B707" s="18">
        <v>1</v>
      </c>
      <c r="C707" s="18">
        <v>1</v>
      </c>
      <c r="D707" s="18">
        <v>0</v>
      </c>
      <c r="E707" s="18">
        <v>0</v>
      </c>
      <c r="F707" s="18">
        <v>0</v>
      </c>
      <c r="G707" s="18">
        <v>1</v>
      </c>
      <c r="H707" s="18">
        <v>0</v>
      </c>
      <c r="I707" s="18">
        <v>1</v>
      </c>
      <c r="J707" s="18">
        <v>1</v>
      </c>
      <c r="K707" s="18">
        <v>0</v>
      </c>
      <c r="L707" s="18">
        <v>1</v>
      </c>
      <c r="M707" s="18">
        <v>1</v>
      </c>
      <c r="N707" s="133">
        <f>SUM(B707:M707)</f>
        <v>7</v>
      </c>
      <c r="O707" s="19">
        <f>IF(N707=0,0,AVERAGE(B707:M707))</f>
        <v>0.58333333333333337</v>
      </c>
      <c r="P707" s="8"/>
      <c r="Q707" s="8"/>
      <c r="R707" s="8"/>
      <c r="S707" s="8"/>
      <c r="T707" s="8"/>
      <c r="U707" s="8"/>
      <c r="V707" s="8"/>
      <c r="W707" s="8"/>
      <c r="X707" s="8"/>
      <c r="Y707" s="8"/>
      <c r="Z707" s="8"/>
    </row>
    <row r="708" spans="1:26" s="9" customFormat="1" ht="15.75">
      <c r="A708" s="342" t="s">
        <v>21</v>
      </c>
      <c r="B708" s="333">
        <f t="shared" ref="B708:C708" si="616">SUM(B707)</f>
        <v>1</v>
      </c>
      <c r="C708" s="333">
        <f t="shared" si="616"/>
        <v>1</v>
      </c>
      <c r="D708" s="333">
        <f t="shared" ref="D708:E708" si="617">SUM(D707)</f>
        <v>0</v>
      </c>
      <c r="E708" s="333">
        <f t="shared" si="617"/>
        <v>0</v>
      </c>
      <c r="F708" s="333">
        <f t="shared" ref="F708:G708" si="618">SUM(F707)</f>
        <v>0</v>
      </c>
      <c r="G708" s="333">
        <f t="shared" si="618"/>
        <v>1</v>
      </c>
      <c r="H708" s="333">
        <f t="shared" ref="H708:I708" si="619">SUM(H707)</f>
        <v>0</v>
      </c>
      <c r="I708" s="333">
        <f t="shared" si="619"/>
        <v>1</v>
      </c>
      <c r="J708" s="333">
        <f t="shared" ref="J708:K708" si="620">SUM(J707)</f>
        <v>1</v>
      </c>
      <c r="K708" s="333">
        <f t="shared" si="620"/>
        <v>0</v>
      </c>
      <c r="L708" s="333">
        <f t="shared" ref="L708:M708" si="621">SUM(L707)</f>
        <v>1</v>
      </c>
      <c r="M708" s="333">
        <f t="shared" si="621"/>
        <v>1</v>
      </c>
      <c r="N708" s="334">
        <f>SUM(N707)</f>
        <v>7</v>
      </c>
      <c r="O708" s="335">
        <f>SUM(O707)</f>
        <v>0.58333333333333337</v>
      </c>
      <c r="P708" s="8"/>
      <c r="Q708" s="8"/>
      <c r="R708" s="8"/>
      <c r="S708" s="8"/>
      <c r="T708" s="8"/>
      <c r="U708" s="8"/>
      <c r="V708" s="8"/>
      <c r="W708" s="8"/>
      <c r="X708" s="8"/>
      <c r="Y708" s="8"/>
      <c r="Z708" s="8"/>
    </row>
    <row r="709" spans="1:26" s="9" customFormat="1" ht="15.75">
      <c r="A709" s="342" t="s">
        <v>112</v>
      </c>
      <c r="B709" s="335">
        <f t="shared" ref="B709:G709" si="622">IF(B708=0,"",B708/B$1676)</f>
        <v>3.2258064516129031E-2</v>
      </c>
      <c r="C709" s="335">
        <f t="shared" si="622"/>
        <v>3.5714285714285712E-2</v>
      </c>
      <c r="D709" s="335">
        <v>0</v>
      </c>
      <c r="E709" s="335">
        <v>0</v>
      </c>
      <c r="F709" s="335">
        <v>0</v>
      </c>
      <c r="G709" s="335">
        <f t="shared" si="622"/>
        <v>3.3333333333333333E-2</v>
      </c>
      <c r="H709" s="335">
        <v>0</v>
      </c>
      <c r="I709" s="335">
        <v>1</v>
      </c>
      <c r="J709" s="335">
        <v>2</v>
      </c>
      <c r="K709" s="335">
        <v>2</v>
      </c>
      <c r="L709" s="335">
        <v>2</v>
      </c>
      <c r="M709" s="335">
        <v>2</v>
      </c>
      <c r="N709" s="334">
        <f>SUM(B709:M709)</f>
        <v>9.1013056835637478</v>
      </c>
      <c r="O709" s="335">
        <f>IF(N709=0,0,AVERAGE(B709:M709))</f>
        <v>0.75844214029697898</v>
      </c>
      <c r="P709" s="8"/>
      <c r="Q709" s="8"/>
      <c r="R709" s="8"/>
      <c r="S709" s="8"/>
      <c r="T709" s="8"/>
      <c r="U709" s="8"/>
      <c r="V709" s="8"/>
      <c r="W709" s="8"/>
      <c r="X709" s="8"/>
      <c r="Y709" s="8"/>
      <c r="Z709" s="8"/>
    </row>
    <row r="710" spans="1:26" s="9" customFormat="1" ht="15.75">
      <c r="A710" s="328"/>
      <c r="B710" s="329"/>
      <c r="C710" s="329"/>
      <c r="D710" s="329"/>
      <c r="E710" s="329"/>
      <c r="F710" s="329"/>
      <c r="G710" s="329"/>
      <c r="H710" s="329"/>
      <c r="I710" s="329"/>
      <c r="J710" s="329"/>
      <c r="K710" s="329"/>
      <c r="L710" s="329"/>
      <c r="M710" s="329"/>
      <c r="N710" s="330"/>
      <c r="O710" s="40"/>
      <c r="P710" s="8"/>
      <c r="Q710" s="8"/>
      <c r="R710" s="8"/>
      <c r="S710" s="8"/>
      <c r="T710" s="8"/>
      <c r="U710" s="8"/>
      <c r="V710" s="8"/>
      <c r="W710" s="8"/>
      <c r="X710" s="8"/>
      <c r="Y710" s="8"/>
      <c r="Z710" s="8"/>
    </row>
    <row r="711" spans="1:26" s="9" customFormat="1" ht="15.75">
      <c r="A711" s="331" t="s">
        <v>153</v>
      </c>
      <c r="B711" s="86">
        <f t="shared" ref="B711:C711" si="623">B703</f>
        <v>0</v>
      </c>
      <c r="C711" s="86">
        <f t="shared" si="623"/>
        <v>0</v>
      </c>
      <c r="D711" s="86">
        <f t="shared" ref="D711:E711" si="624">D703</f>
        <v>0</v>
      </c>
      <c r="E711" s="86">
        <f t="shared" si="624"/>
        <v>0</v>
      </c>
      <c r="F711" s="86">
        <f t="shared" ref="F711:G711" si="625">F703</f>
        <v>0</v>
      </c>
      <c r="G711" s="86">
        <f t="shared" si="625"/>
        <v>0</v>
      </c>
      <c r="H711" s="86">
        <f t="shared" ref="H711:I711" si="626">H703</f>
        <v>0</v>
      </c>
      <c r="I711" s="86">
        <f t="shared" si="626"/>
        <v>0</v>
      </c>
      <c r="J711" s="86">
        <f t="shared" ref="J711:K711" si="627">J703</f>
        <v>0</v>
      </c>
      <c r="K711" s="86">
        <f t="shared" si="627"/>
        <v>0</v>
      </c>
      <c r="L711" s="86">
        <f t="shared" ref="L711:M711" si="628">L703</f>
        <v>0</v>
      </c>
      <c r="M711" s="86">
        <f t="shared" si="628"/>
        <v>0</v>
      </c>
      <c r="N711" s="133">
        <f>SUM(B711:M711)</f>
        <v>0</v>
      </c>
      <c r="O711" s="19">
        <f>IF(N711=0,0,AVERAGE(B711:M711))</f>
        <v>0</v>
      </c>
      <c r="P711" s="8"/>
      <c r="Q711" s="8"/>
      <c r="R711" s="8"/>
      <c r="S711" s="8"/>
      <c r="T711" s="8"/>
      <c r="U711" s="8"/>
      <c r="V711" s="8"/>
      <c r="W711" s="8"/>
      <c r="X711" s="8"/>
      <c r="Y711" s="8"/>
      <c r="Z711" s="8"/>
    </row>
    <row r="712" spans="1:26" s="9" customFormat="1" ht="15.75">
      <c r="A712" s="331" t="s">
        <v>154</v>
      </c>
      <c r="B712" s="86">
        <f t="shared" ref="B712:C712" si="629">B708</f>
        <v>1</v>
      </c>
      <c r="C712" s="86">
        <f t="shared" si="629"/>
        <v>1</v>
      </c>
      <c r="D712" s="86">
        <f t="shared" ref="D712:E712" si="630">D708</f>
        <v>0</v>
      </c>
      <c r="E712" s="86">
        <f t="shared" si="630"/>
        <v>0</v>
      </c>
      <c r="F712" s="86">
        <f t="shared" ref="F712:G712" si="631">F708</f>
        <v>0</v>
      </c>
      <c r="G712" s="86">
        <f t="shared" si="631"/>
        <v>1</v>
      </c>
      <c r="H712" s="86">
        <f t="shared" ref="H712:I712" si="632">H708</f>
        <v>0</v>
      </c>
      <c r="I712" s="86">
        <f t="shared" si="632"/>
        <v>1</v>
      </c>
      <c r="J712" s="86">
        <f t="shared" ref="J712:K712" si="633">J708</f>
        <v>1</v>
      </c>
      <c r="K712" s="86">
        <f t="shared" si="633"/>
        <v>0</v>
      </c>
      <c r="L712" s="86">
        <f t="shared" ref="L712:M712" si="634">L708</f>
        <v>1</v>
      </c>
      <c r="M712" s="86">
        <f t="shared" si="634"/>
        <v>1</v>
      </c>
      <c r="N712" s="133">
        <f>SUM(B712:M712)</f>
        <v>7</v>
      </c>
      <c r="O712" s="19">
        <f>IF(N712=0,0,AVERAGE(B712:M712))</f>
        <v>0.58333333333333337</v>
      </c>
      <c r="P712" s="8"/>
      <c r="Q712" s="8"/>
      <c r="R712" s="8"/>
      <c r="S712" s="8"/>
      <c r="T712" s="8"/>
      <c r="U712" s="8"/>
      <c r="V712" s="8"/>
      <c r="W712" s="8"/>
      <c r="X712" s="8"/>
      <c r="Y712" s="8"/>
      <c r="Z712" s="8"/>
    </row>
    <row r="713" spans="1:26" s="9" customFormat="1" ht="15.75">
      <c r="A713" s="342" t="s">
        <v>155</v>
      </c>
      <c r="B713" s="333">
        <f t="shared" ref="B713:C713" si="635">SUM(B711:B712)</f>
        <v>1</v>
      </c>
      <c r="C713" s="333">
        <f t="shared" si="635"/>
        <v>1</v>
      </c>
      <c r="D713" s="333">
        <f t="shared" ref="D713:E713" si="636">SUM(D711:D712)</f>
        <v>0</v>
      </c>
      <c r="E713" s="333">
        <f t="shared" si="636"/>
        <v>0</v>
      </c>
      <c r="F713" s="333">
        <f t="shared" ref="F713:G713" si="637">SUM(F711:F712)</f>
        <v>0</v>
      </c>
      <c r="G713" s="333">
        <f t="shared" si="637"/>
        <v>1</v>
      </c>
      <c r="H713" s="333">
        <f t="shared" ref="H713:I713" si="638">SUM(H711:H712)</f>
        <v>0</v>
      </c>
      <c r="I713" s="333">
        <f t="shared" si="638"/>
        <v>1</v>
      </c>
      <c r="J713" s="333">
        <f t="shared" ref="J713:K713" si="639">SUM(J711:J712)</f>
        <v>1</v>
      </c>
      <c r="K713" s="333">
        <f t="shared" si="639"/>
        <v>0</v>
      </c>
      <c r="L713" s="333">
        <f t="shared" ref="L713:M713" si="640">SUM(L711:L712)</f>
        <v>1</v>
      </c>
      <c r="M713" s="333">
        <f t="shared" si="640"/>
        <v>1</v>
      </c>
      <c r="N713" s="334">
        <f>SUM(N711:N712)</f>
        <v>7</v>
      </c>
      <c r="O713" s="335">
        <f>SUM(O711:O712)</f>
        <v>0.58333333333333337</v>
      </c>
      <c r="P713" s="8"/>
      <c r="Q713" s="8"/>
      <c r="R713" s="8"/>
      <c r="S713" s="8"/>
      <c r="T713" s="8"/>
      <c r="U713" s="8"/>
      <c r="V713" s="8"/>
      <c r="W713" s="8"/>
      <c r="X713" s="8"/>
      <c r="Y713" s="8"/>
      <c r="Z713" s="8"/>
    </row>
    <row r="714" spans="1:26" s="9" customFormat="1" ht="15.75">
      <c r="A714" s="180"/>
      <c r="B714" s="279"/>
      <c r="C714" s="279"/>
      <c r="D714" s="279"/>
      <c r="E714" s="279"/>
      <c r="F714" s="279"/>
      <c r="G714" s="279"/>
      <c r="H714" s="279"/>
      <c r="I714" s="279"/>
      <c r="J714" s="279"/>
      <c r="K714" s="279"/>
      <c r="L714" s="279"/>
      <c r="M714" s="279"/>
      <c r="N714" s="280"/>
      <c r="O714" s="125"/>
      <c r="P714" s="8"/>
      <c r="Q714" s="8"/>
      <c r="R714" s="8"/>
      <c r="S714" s="8"/>
      <c r="T714" s="8"/>
      <c r="U714" s="8"/>
      <c r="V714" s="8"/>
      <c r="W714" s="8"/>
      <c r="X714" s="8"/>
      <c r="Y714" s="8"/>
      <c r="Z714" s="8"/>
    </row>
    <row r="715" spans="1:26" s="9" customFormat="1" ht="15.75">
      <c r="A715" s="91" t="s">
        <v>662</v>
      </c>
      <c r="B715" s="92"/>
      <c r="C715" s="92"/>
      <c r="D715" s="92"/>
      <c r="E715" s="92"/>
      <c r="F715" s="92"/>
      <c r="G715" s="92"/>
      <c r="H715" s="92"/>
      <c r="I715" s="92"/>
      <c r="J715" s="92"/>
      <c r="K715" s="92"/>
      <c r="L715" s="92"/>
      <c r="M715" s="92"/>
      <c r="N715" s="150"/>
      <c r="O715" s="93"/>
      <c r="P715" s="8"/>
      <c r="Q715" s="8"/>
      <c r="R715" s="8"/>
      <c r="S715" s="8"/>
      <c r="T715" s="8"/>
      <c r="U715" s="8"/>
      <c r="V715" s="8"/>
      <c r="W715" s="8"/>
      <c r="X715" s="8"/>
      <c r="Y715" s="8"/>
      <c r="Z715" s="8"/>
    </row>
    <row r="716" spans="1:26" s="9" customFormat="1" ht="15.75">
      <c r="A716" s="60" t="s">
        <v>328</v>
      </c>
      <c r="B716" s="15"/>
      <c r="C716" s="15"/>
      <c r="D716" s="15"/>
      <c r="E716" s="15"/>
      <c r="F716" s="15"/>
      <c r="G716" s="15"/>
      <c r="H716" s="15"/>
      <c r="I716" s="15"/>
      <c r="J716" s="15"/>
      <c r="K716" s="15"/>
      <c r="L716" s="15"/>
      <c r="M716" s="15"/>
      <c r="N716" s="132"/>
      <c r="O716" s="16"/>
      <c r="P716" s="8"/>
      <c r="Q716" s="8"/>
      <c r="R716" s="8"/>
      <c r="S716" s="8"/>
      <c r="T716" s="8"/>
      <c r="U716" s="8"/>
      <c r="V716" s="8"/>
      <c r="W716" s="8"/>
      <c r="X716" s="8"/>
      <c r="Y716" s="8"/>
      <c r="Z716" s="8"/>
    </row>
    <row r="717" spans="1:26" s="9" customFormat="1" ht="15.75">
      <c r="A717" s="37" t="s">
        <v>18</v>
      </c>
      <c r="B717" s="18">
        <v>0</v>
      </c>
      <c r="C717" s="18">
        <v>0</v>
      </c>
      <c r="D717" s="18">
        <v>0</v>
      </c>
      <c r="E717" s="18">
        <v>0</v>
      </c>
      <c r="F717" s="18">
        <v>0</v>
      </c>
      <c r="G717" s="18">
        <v>0</v>
      </c>
      <c r="H717" s="18">
        <v>0</v>
      </c>
      <c r="I717" s="18">
        <v>0</v>
      </c>
      <c r="J717" s="18">
        <v>0</v>
      </c>
      <c r="K717" s="18">
        <v>0</v>
      </c>
      <c r="L717" s="18">
        <v>0</v>
      </c>
      <c r="M717" s="18">
        <v>0</v>
      </c>
      <c r="N717" s="133">
        <f>SUM(B717:M717)</f>
        <v>0</v>
      </c>
      <c r="O717" s="19">
        <f>IF(N717=0,0,AVERAGE(B717:M717))</f>
        <v>0</v>
      </c>
      <c r="P717" s="8"/>
      <c r="Q717" s="8"/>
      <c r="R717" s="8"/>
      <c r="S717" s="8"/>
      <c r="T717" s="8"/>
      <c r="U717" s="8"/>
      <c r="V717" s="8"/>
      <c r="W717" s="8"/>
      <c r="X717" s="8"/>
      <c r="Y717" s="8"/>
      <c r="Z717" s="8"/>
    </row>
    <row r="718" spans="1:26" s="9" customFormat="1" ht="15.75">
      <c r="A718" s="37" t="s">
        <v>19</v>
      </c>
      <c r="B718" s="18">
        <v>0</v>
      </c>
      <c r="C718" s="18">
        <v>0</v>
      </c>
      <c r="D718" s="18">
        <v>0</v>
      </c>
      <c r="E718" s="18">
        <v>0</v>
      </c>
      <c r="F718" s="18">
        <v>0</v>
      </c>
      <c r="G718" s="18">
        <v>0</v>
      </c>
      <c r="H718" s="18">
        <v>0</v>
      </c>
      <c r="I718" s="18">
        <v>0</v>
      </c>
      <c r="J718" s="18">
        <v>0</v>
      </c>
      <c r="K718" s="18">
        <v>0</v>
      </c>
      <c r="L718" s="18">
        <v>0</v>
      </c>
      <c r="M718" s="18">
        <v>0</v>
      </c>
      <c r="N718" s="133">
        <f>SUM(B718:M718)</f>
        <v>0</v>
      </c>
      <c r="O718" s="19">
        <f>IF(N718=0,0,AVERAGE(B718:M718))</f>
        <v>0</v>
      </c>
      <c r="P718" s="8"/>
      <c r="Q718" s="8"/>
      <c r="R718" s="8"/>
      <c r="S718" s="8"/>
      <c r="T718" s="8"/>
      <c r="U718" s="8"/>
      <c r="V718" s="8"/>
      <c r="W718" s="8"/>
      <c r="X718" s="8"/>
      <c r="Y718" s="8"/>
      <c r="Z718" s="8"/>
    </row>
    <row r="719" spans="1:26" s="9" customFormat="1" ht="15.75">
      <c r="A719" s="37" t="s">
        <v>20</v>
      </c>
      <c r="B719" s="18">
        <v>0</v>
      </c>
      <c r="C719" s="18">
        <v>0</v>
      </c>
      <c r="D719" s="18">
        <v>0</v>
      </c>
      <c r="E719" s="18">
        <v>0</v>
      </c>
      <c r="F719" s="18">
        <v>0</v>
      </c>
      <c r="G719" s="18">
        <v>0</v>
      </c>
      <c r="H719" s="18">
        <v>0</v>
      </c>
      <c r="I719" s="18">
        <v>0</v>
      </c>
      <c r="J719" s="18">
        <v>0</v>
      </c>
      <c r="K719" s="18">
        <v>0</v>
      </c>
      <c r="L719" s="18">
        <v>0</v>
      </c>
      <c r="M719" s="18">
        <v>0</v>
      </c>
      <c r="N719" s="133">
        <f>SUM(B719:M719)</f>
        <v>0</v>
      </c>
      <c r="O719" s="19">
        <f>IF(N719=0,0,AVERAGE(B719:M719))</f>
        <v>0</v>
      </c>
      <c r="P719" s="8"/>
      <c r="Q719" s="8"/>
      <c r="R719" s="8"/>
      <c r="S719" s="8"/>
      <c r="T719" s="8"/>
      <c r="U719" s="8"/>
      <c r="V719" s="8"/>
      <c r="W719" s="8"/>
      <c r="X719" s="8"/>
      <c r="Y719" s="8"/>
      <c r="Z719" s="8"/>
    </row>
    <row r="720" spans="1:26" s="9" customFormat="1" ht="15.75">
      <c r="A720" s="56" t="s">
        <v>21</v>
      </c>
      <c r="B720" s="21">
        <f t="shared" ref="B720:C720" si="641">SUM(B717:B719)</f>
        <v>0</v>
      </c>
      <c r="C720" s="21">
        <f t="shared" si="641"/>
        <v>0</v>
      </c>
      <c r="D720" s="21">
        <f t="shared" ref="D720:E720" si="642">SUM(D717:D719)</f>
        <v>0</v>
      </c>
      <c r="E720" s="21">
        <f t="shared" si="642"/>
        <v>0</v>
      </c>
      <c r="F720" s="21">
        <f t="shared" ref="F720:G720" si="643">SUM(F717:F719)</f>
        <v>0</v>
      </c>
      <c r="G720" s="21">
        <f t="shared" si="643"/>
        <v>0</v>
      </c>
      <c r="H720" s="21">
        <f t="shared" ref="H720:I720" si="644">SUM(H717:H719)</f>
        <v>0</v>
      </c>
      <c r="I720" s="21">
        <f t="shared" si="644"/>
        <v>0</v>
      </c>
      <c r="J720" s="21">
        <f t="shared" ref="J720:K720" si="645">SUM(J717:J719)</f>
        <v>0</v>
      </c>
      <c r="K720" s="21">
        <f t="shared" si="645"/>
        <v>0</v>
      </c>
      <c r="L720" s="21">
        <f t="shared" ref="L720:M720" si="646">SUM(L717:L719)</f>
        <v>0</v>
      </c>
      <c r="M720" s="21">
        <f t="shared" si="646"/>
        <v>0</v>
      </c>
      <c r="N720" s="128">
        <f>SUM(N717:N719)</f>
        <v>0</v>
      </c>
      <c r="O720" s="22">
        <f>SUM(O717:O719)</f>
        <v>0</v>
      </c>
      <c r="P720" s="8"/>
      <c r="Q720" s="8"/>
      <c r="R720" s="8"/>
      <c r="S720" s="8"/>
      <c r="T720" s="8"/>
      <c r="U720" s="8"/>
      <c r="V720" s="8"/>
      <c r="W720" s="8"/>
      <c r="X720" s="8"/>
      <c r="Y720" s="8"/>
      <c r="Z720" s="8"/>
    </row>
    <row r="721" spans="1:26" s="9" customFormat="1" ht="15.75">
      <c r="A721" s="56" t="s">
        <v>112</v>
      </c>
      <c r="B721" s="22" t="s">
        <v>44</v>
      </c>
      <c r="C721" s="22" t="s">
        <v>44</v>
      </c>
      <c r="D721" s="22" t="s">
        <v>44</v>
      </c>
      <c r="E721" s="22" t="s">
        <v>44</v>
      </c>
      <c r="F721" s="22" t="s">
        <v>44</v>
      </c>
      <c r="G721" s="22" t="s">
        <v>44</v>
      </c>
      <c r="H721" s="22" t="s">
        <v>44</v>
      </c>
      <c r="I721" s="22" t="s">
        <v>44</v>
      </c>
      <c r="J721" s="22" t="s">
        <v>44</v>
      </c>
      <c r="K721" s="22" t="s">
        <v>44</v>
      </c>
      <c r="L721" s="22" t="s">
        <v>44</v>
      </c>
      <c r="M721" s="22" t="s">
        <v>44</v>
      </c>
      <c r="N721" s="128">
        <f>SUM(B721:M721)</f>
        <v>0</v>
      </c>
      <c r="O721" s="22">
        <f>IF(N721=0,0,AVERAGE(B721:M721))</f>
        <v>0</v>
      </c>
      <c r="P721" s="8"/>
      <c r="Q721" s="8"/>
      <c r="R721" s="8"/>
      <c r="S721" s="8"/>
      <c r="T721" s="8"/>
      <c r="U721" s="8"/>
      <c r="V721" s="8"/>
      <c r="W721" s="8"/>
      <c r="X721" s="8"/>
      <c r="Y721" s="8"/>
      <c r="Z721" s="8"/>
    </row>
    <row r="722" spans="1:26" s="9" customFormat="1" ht="15.75">
      <c r="A722" s="82"/>
      <c r="B722" s="83"/>
      <c r="C722" s="83"/>
      <c r="D722" s="83"/>
      <c r="E722" s="83"/>
      <c r="F722" s="83"/>
      <c r="G722" s="83"/>
      <c r="H722" s="83"/>
      <c r="I722" s="83"/>
      <c r="J722" s="83"/>
      <c r="K722" s="83"/>
      <c r="L722" s="83"/>
      <c r="M722" s="83"/>
      <c r="N722" s="148"/>
      <c r="O722" s="84"/>
      <c r="P722" s="8"/>
      <c r="Q722" s="8"/>
      <c r="R722" s="8"/>
      <c r="S722" s="8"/>
      <c r="T722" s="8"/>
      <c r="U722" s="8"/>
      <c r="V722" s="8"/>
      <c r="W722" s="8"/>
      <c r="X722" s="8"/>
      <c r="Y722" s="8"/>
      <c r="Z722" s="8"/>
    </row>
    <row r="723" spans="1:26" s="9" customFormat="1" ht="15.75">
      <c r="A723" s="60" t="s">
        <v>329</v>
      </c>
      <c r="B723" s="15"/>
      <c r="C723" s="15"/>
      <c r="D723" s="15"/>
      <c r="E723" s="15"/>
      <c r="F723" s="15"/>
      <c r="G723" s="15"/>
      <c r="H723" s="15"/>
      <c r="I723" s="15"/>
      <c r="J723" s="15"/>
      <c r="K723" s="15"/>
      <c r="L723" s="15"/>
      <c r="M723" s="15"/>
      <c r="N723" s="132"/>
      <c r="O723" s="16"/>
      <c r="P723" s="8"/>
      <c r="Q723" s="8"/>
      <c r="R723" s="8"/>
      <c r="S723" s="8"/>
      <c r="T723" s="8"/>
      <c r="U723" s="8"/>
      <c r="V723" s="8"/>
      <c r="W723" s="8"/>
      <c r="X723" s="8"/>
      <c r="Y723" s="8"/>
      <c r="Z723" s="8"/>
    </row>
    <row r="724" spans="1:26" s="9" customFormat="1" ht="15.75">
      <c r="A724" s="34" t="s">
        <v>114</v>
      </c>
      <c r="B724" s="18">
        <v>71</v>
      </c>
      <c r="C724" s="18">
        <v>77</v>
      </c>
      <c r="D724" s="18">
        <v>76</v>
      </c>
      <c r="E724" s="18">
        <v>70</v>
      </c>
      <c r="F724" s="18">
        <v>77</v>
      </c>
      <c r="G724" s="18">
        <v>84</v>
      </c>
      <c r="H724" s="18">
        <v>74</v>
      </c>
      <c r="I724" s="18">
        <v>85</v>
      </c>
      <c r="J724" s="18">
        <v>87</v>
      </c>
      <c r="K724" s="18">
        <v>81</v>
      </c>
      <c r="L724" s="18">
        <v>86</v>
      </c>
      <c r="M724" s="18">
        <v>93</v>
      </c>
      <c r="N724" s="133">
        <f>SUM(B724:M724)</f>
        <v>961</v>
      </c>
      <c r="O724" s="19">
        <f>IF(N724=0,0,AVERAGE(B724:M724))</f>
        <v>80.083333333333329</v>
      </c>
      <c r="P724" s="8"/>
      <c r="Q724" s="8"/>
      <c r="R724" s="8"/>
      <c r="S724" s="8"/>
      <c r="T724" s="8"/>
      <c r="U724" s="8"/>
      <c r="V724" s="8"/>
      <c r="W724" s="8"/>
      <c r="X724" s="8"/>
      <c r="Y724" s="8"/>
      <c r="Z724" s="8"/>
    </row>
    <row r="725" spans="1:26" s="9" customFormat="1" ht="15.75">
      <c r="A725" s="56" t="s">
        <v>21</v>
      </c>
      <c r="B725" s="21">
        <f t="shared" ref="B725:C725" si="647">SUM(B722:B724)</f>
        <v>71</v>
      </c>
      <c r="C725" s="21">
        <f t="shared" si="647"/>
        <v>77</v>
      </c>
      <c r="D725" s="21">
        <f t="shared" ref="D725:E725" si="648">SUM(D722:D724)</f>
        <v>76</v>
      </c>
      <c r="E725" s="21">
        <f t="shared" si="648"/>
        <v>70</v>
      </c>
      <c r="F725" s="21">
        <f t="shared" ref="F725:G725" si="649">SUM(F722:F724)</f>
        <v>77</v>
      </c>
      <c r="G725" s="21">
        <f t="shared" si="649"/>
        <v>84</v>
      </c>
      <c r="H725" s="21">
        <f t="shared" ref="H725:I725" si="650">SUM(H722:H724)</f>
        <v>74</v>
      </c>
      <c r="I725" s="21">
        <f t="shared" si="650"/>
        <v>85</v>
      </c>
      <c r="J725" s="21">
        <f t="shared" ref="J725:K725" si="651">SUM(J722:J724)</f>
        <v>87</v>
      </c>
      <c r="K725" s="21">
        <f t="shared" si="651"/>
        <v>81</v>
      </c>
      <c r="L725" s="21">
        <f t="shared" ref="L725:M725" si="652">SUM(L722:L724)</f>
        <v>86</v>
      </c>
      <c r="M725" s="21">
        <f t="shared" si="652"/>
        <v>93</v>
      </c>
      <c r="N725" s="128">
        <f>SUM(N724)</f>
        <v>961</v>
      </c>
      <c r="O725" s="22">
        <f>SUM(O724)</f>
        <v>80.083333333333329</v>
      </c>
      <c r="P725" s="8"/>
      <c r="Q725" s="8"/>
      <c r="R725" s="8"/>
      <c r="S725" s="8"/>
      <c r="T725" s="8"/>
      <c r="U725" s="8"/>
      <c r="V725" s="8"/>
      <c r="W725" s="8"/>
      <c r="X725" s="8"/>
      <c r="Y725" s="8"/>
      <c r="Z725" s="8"/>
    </row>
    <row r="726" spans="1:26" s="9" customFormat="1" ht="15.75">
      <c r="A726" s="56" t="s">
        <v>112</v>
      </c>
      <c r="B726" s="22">
        <f t="shared" ref="B726:G726" si="653">IF(B725=0,"",B725/B$1676)</f>
        <v>2.2903225806451615</v>
      </c>
      <c r="C726" s="22">
        <f t="shared" si="653"/>
        <v>2.75</v>
      </c>
      <c r="D726" s="22">
        <f t="shared" si="653"/>
        <v>2.4516129032258065</v>
      </c>
      <c r="E726" s="22">
        <f t="shared" si="653"/>
        <v>2.3333333333333335</v>
      </c>
      <c r="F726" s="22">
        <f t="shared" si="653"/>
        <v>2.4838709677419355</v>
      </c>
      <c r="G726" s="22">
        <f t="shared" si="653"/>
        <v>2.8</v>
      </c>
      <c r="H726" s="22">
        <f t="shared" ref="H726:I726" si="654">IF(H725=0,"",H725/H$1676)</f>
        <v>2.3870967741935485</v>
      </c>
      <c r="I726" s="22">
        <f t="shared" si="654"/>
        <v>2.7419354838709675</v>
      </c>
      <c r="J726" s="22">
        <f t="shared" ref="J726:K726" si="655">IF(J725=0,"",J725/J$1676)</f>
        <v>2.9</v>
      </c>
      <c r="K726" s="22">
        <f t="shared" si="655"/>
        <v>2.6129032258064515</v>
      </c>
      <c r="L726" s="22">
        <f t="shared" ref="L726:M726" si="656">IF(L725=0,"",L725/L$1676)</f>
        <v>2.8666666666666667</v>
      </c>
      <c r="M726" s="22">
        <f t="shared" si="656"/>
        <v>3</v>
      </c>
      <c r="N726" s="128">
        <f>SUM(B726:M726)</f>
        <v>31.61774193548387</v>
      </c>
      <c r="O726" s="22">
        <f>IF(N726=0,0,AVERAGE(B726:M726))</f>
        <v>2.6348118279569892</v>
      </c>
      <c r="P726" s="8"/>
      <c r="Q726" s="8"/>
      <c r="R726" s="8"/>
      <c r="S726" s="8"/>
      <c r="T726" s="8"/>
      <c r="U726" s="8"/>
      <c r="V726" s="8"/>
      <c r="W726" s="8"/>
      <c r="X726" s="8"/>
      <c r="Y726" s="8"/>
      <c r="Z726" s="8"/>
    </row>
    <row r="727" spans="1:26" s="9" customFormat="1" ht="15.75">
      <c r="A727" s="82"/>
      <c r="B727" s="83"/>
      <c r="C727" s="83"/>
      <c r="D727" s="83"/>
      <c r="E727" s="83"/>
      <c r="F727" s="83"/>
      <c r="G727" s="83"/>
      <c r="H727" s="83"/>
      <c r="I727" s="83"/>
      <c r="J727" s="83"/>
      <c r="K727" s="83"/>
      <c r="L727" s="83"/>
      <c r="M727" s="83"/>
      <c r="N727" s="148"/>
      <c r="O727" s="84"/>
      <c r="P727" s="8"/>
      <c r="Q727" s="8"/>
      <c r="R727" s="8"/>
      <c r="S727" s="8"/>
      <c r="T727" s="8"/>
      <c r="U727" s="8"/>
      <c r="V727" s="8"/>
      <c r="W727" s="8"/>
      <c r="X727" s="8"/>
      <c r="Y727" s="8"/>
      <c r="Z727" s="8"/>
    </row>
    <row r="728" spans="1:26" s="9" customFormat="1" ht="15.75">
      <c r="A728" s="90" t="s">
        <v>153</v>
      </c>
      <c r="B728" s="86">
        <f t="shared" ref="B728:C728" si="657">B720</f>
        <v>0</v>
      </c>
      <c r="C728" s="86">
        <f t="shared" si="657"/>
        <v>0</v>
      </c>
      <c r="D728" s="86">
        <f t="shared" ref="D728:E728" si="658">D720</f>
        <v>0</v>
      </c>
      <c r="E728" s="86">
        <f t="shared" si="658"/>
        <v>0</v>
      </c>
      <c r="F728" s="86">
        <f t="shared" ref="F728:G728" si="659">F720</f>
        <v>0</v>
      </c>
      <c r="G728" s="86">
        <f t="shared" si="659"/>
        <v>0</v>
      </c>
      <c r="H728" s="86">
        <f t="shared" ref="H728:I728" si="660">H720</f>
        <v>0</v>
      </c>
      <c r="I728" s="86">
        <f t="shared" si="660"/>
        <v>0</v>
      </c>
      <c r="J728" s="86">
        <f t="shared" ref="J728:K728" si="661">J720</f>
        <v>0</v>
      </c>
      <c r="K728" s="86">
        <f t="shared" si="661"/>
        <v>0</v>
      </c>
      <c r="L728" s="86">
        <f t="shared" ref="L728:M728" si="662">L720</f>
        <v>0</v>
      </c>
      <c r="M728" s="86">
        <f t="shared" si="662"/>
        <v>0</v>
      </c>
      <c r="N728" s="133">
        <f>SUM(B728:M728)</f>
        <v>0</v>
      </c>
      <c r="O728" s="19">
        <f>IF(N728=0,0,AVERAGE(B728:M728))</f>
        <v>0</v>
      </c>
      <c r="P728" s="8"/>
      <c r="Q728" s="8"/>
      <c r="R728" s="8"/>
      <c r="S728" s="8"/>
      <c r="T728" s="8"/>
      <c r="U728" s="8"/>
      <c r="V728" s="8"/>
      <c r="W728" s="8"/>
      <c r="X728" s="8"/>
      <c r="Y728" s="8"/>
      <c r="Z728" s="8"/>
    </row>
    <row r="729" spans="1:26" s="9" customFormat="1" ht="15.75">
      <c r="A729" s="90" t="s">
        <v>154</v>
      </c>
      <c r="B729" s="86">
        <f t="shared" ref="B729:C729" si="663">B725</f>
        <v>71</v>
      </c>
      <c r="C729" s="86">
        <f t="shared" si="663"/>
        <v>77</v>
      </c>
      <c r="D729" s="86">
        <f t="shared" ref="D729:E729" si="664">D725</f>
        <v>76</v>
      </c>
      <c r="E729" s="86">
        <f t="shared" si="664"/>
        <v>70</v>
      </c>
      <c r="F729" s="86">
        <f t="shared" ref="F729:G729" si="665">F725</f>
        <v>77</v>
      </c>
      <c r="G729" s="86">
        <f t="shared" si="665"/>
        <v>84</v>
      </c>
      <c r="H729" s="86">
        <f t="shared" ref="H729:I729" si="666">H725</f>
        <v>74</v>
      </c>
      <c r="I729" s="86">
        <f t="shared" si="666"/>
        <v>85</v>
      </c>
      <c r="J729" s="86">
        <f t="shared" ref="J729:K729" si="667">J725</f>
        <v>87</v>
      </c>
      <c r="K729" s="86">
        <f t="shared" si="667"/>
        <v>81</v>
      </c>
      <c r="L729" s="86">
        <f t="shared" ref="L729:M729" si="668">L725</f>
        <v>86</v>
      </c>
      <c r="M729" s="86">
        <f t="shared" si="668"/>
        <v>93</v>
      </c>
      <c r="N729" s="133">
        <f>SUM(B729:M729)</f>
        <v>961</v>
      </c>
      <c r="O729" s="19">
        <f>IF(N729=0,0,AVERAGE(B729:M729))</f>
        <v>80.083333333333329</v>
      </c>
      <c r="P729" s="8"/>
      <c r="Q729" s="8"/>
      <c r="R729" s="8"/>
      <c r="S729" s="8"/>
      <c r="T729" s="8"/>
      <c r="U729" s="8"/>
      <c r="V729" s="8"/>
      <c r="W729" s="8"/>
      <c r="X729" s="8"/>
      <c r="Y729" s="8"/>
      <c r="Z729" s="8"/>
    </row>
    <row r="730" spans="1:26" s="9" customFormat="1" ht="15.75">
      <c r="A730" s="342" t="s">
        <v>155</v>
      </c>
      <c r="B730" s="333">
        <f t="shared" ref="B730:C730" si="669">SUM(B728:B729)</f>
        <v>71</v>
      </c>
      <c r="C730" s="333">
        <f t="shared" si="669"/>
        <v>77</v>
      </c>
      <c r="D730" s="333">
        <f t="shared" ref="D730:E730" si="670">SUM(D728:D729)</f>
        <v>76</v>
      </c>
      <c r="E730" s="333">
        <f t="shared" si="670"/>
        <v>70</v>
      </c>
      <c r="F730" s="333">
        <f t="shared" ref="F730:G730" si="671">SUM(F728:F729)</f>
        <v>77</v>
      </c>
      <c r="G730" s="333">
        <f t="shared" si="671"/>
        <v>84</v>
      </c>
      <c r="H730" s="333">
        <f t="shared" ref="H730:I730" si="672">SUM(H728:H729)</f>
        <v>74</v>
      </c>
      <c r="I730" s="333">
        <f t="shared" si="672"/>
        <v>85</v>
      </c>
      <c r="J730" s="333">
        <f t="shared" ref="J730:K730" si="673">SUM(J728:J729)</f>
        <v>87</v>
      </c>
      <c r="K730" s="333">
        <f t="shared" si="673"/>
        <v>81</v>
      </c>
      <c r="L730" s="333">
        <f t="shared" ref="L730:M730" si="674">SUM(L728:L729)</f>
        <v>86</v>
      </c>
      <c r="M730" s="333">
        <f t="shared" si="674"/>
        <v>93</v>
      </c>
      <c r="N730" s="334">
        <f>SUM(N728:N729)</f>
        <v>961</v>
      </c>
      <c r="O730" s="335">
        <f>SUM(O728:O729)</f>
        <v>80.083333333333329</v>
      </c>
      <c r="P730" s="8"/>
      <c r="Q730" s="8"/>
      <c r="R730" s="8"/>
      <c r="S730" s="8"/>
      <c r="T730" s="8"/>
      <c r="U730" s="8"/>
      <c r="V730" s="8"/>
      <c r="W730" s="8"/>
      <c r="X730" s="8"/>
      <c r="Y730" s="8"/>
      <c r="Z730" s="8"/>
    </row>
    <row r="731" spans="1:26" s="9" customFormat="1" ht="15.75">
      <c r="A731" s="180"/>
      <c r="B731" s="279"/>
      <c r="C731" s="279"/>
      <c r="D731" s="279"/>
      <c r="E731" s="279"/>
      <c r="F731" s="279"/>
      <c r="G731" s="279"/>
      <c r="H731" s="279"/>
      <c r="I731" s="279"/>
      <c r="J731" s="279"/>
      <c r="K731" s="279"/>
      <c r="L731" s="279"/>
      <c r="M731" s="279"/>
      <c r="N731" s="280"/>
      <c r="O731" s="125"/>
      <c r="P731" s="8"/>
      <c r="Q731" s="8"/>
      <c r="R731" s="8"/>
      <c r="S731" s="8"/>
      <c r="T731" s="8"/>
      <c r="U731" s="8"/>
      <c r="V731" s="8"/>
      <c r="W731" s="8"/>
      <c r="X731" s="8"/>
      <c r="Y731" s="8"/>
      <c r="Z731" s="8"/>
    </row>
    <row r="732" spans="1:26" s="9" customFormat="1" ht="15.75">
      <c r="A732" s="91" t="s">
        <v>663</v>
      </c>
      <c r="B732" s="92"/>
      <c r="C732" s="92"/>
      <c r="D732" s="92"/>
      <c r="E732" s="92"/>
      <c r="F732" s="92"/>
      <c r="G732" s="92"/>
      <c r="H732" s="92"/>
      <c r="I732" s="92"/>
      <c r="J732" s="92"/>
      <c r="K732" s="92"/>
      <c r="L732" s="92"/>
      <c r="M732" s="92"/>
      <c r="N732" s="150"/>
      <c r="O732" s="93"/>
      <c r="P732" s="8"/>
      <c r="Q732" s="8"/>
      <c r="R732" s="8"/>
      <c r="S732" s="8"/>
      <c r="T732" s="8"/>
      <c r="U732" s="8"/>
      <c r="V732" s="8"/>
      <c r="W732" s="8"/>
      <c r="X732" s="8"/>
      <c r="Y732" s="8"/>
      <c r="Z732" s="8"/>
    </row>
    <row r="733" spans="1:26" s="9" customFormat="1" ht="15.75">
      <c r="A733" s="60" t="s">
        <v>330</v>
      </c>
      <c r="B733" s="15"/>
      <c r="C733" s="15"/>
      <c r="D733" s="15"/>
      <c r="E733" s="15"/>
      <c r="F733" s="15"/>
      <c r="G733" s="15"/>
      <c r="H733" s="15"/>
      <c r="I733" s="15"/>
      <c r="J733" s="15"/>
      <c r="K733" s="15"/>
      <c r="L733" s="15"/>
      <c r="M733" s="15"/>
      <c r="N733" s="132"/>
      <c r="O733" s="16"/>
      <c r="P733" s="8"/>
      <c r="Q733" s="8"/>
      <c r="R733" s="8"/>
      <c r="S733" s="8"/>
      <c r="T733" s="8"/>
      <c r="U733" s="8"/>
      <c r="V733" s="8"/>
      <c r="W733" s="8"/>
      <c r="X733" s="8"/>
      <c r="Y733" s="8"/>
      <c r="Z733" s="8"/>
    </row>
    <row r="734" spans="1:26" s="9" customFormat="1" ht="15.75">
      <c r="A734" s="37" t="s">
        <v>18</v>
      </c>
      <c r="B734" s="18">
        <v>0</v>
      </c>
      <c r="C734" s="18">
        <v>0</v>
      </c>
      <c r="D734" s="18">
        <v>0</v>
      </c>
      <c r="E734" s="18">
        <v>0</v>
      </c>
      <c r="F734" s="18">
        <v>0</v>
      </c>
      <c r="G734" s="18">
        <v>0</v>
      </c>
      <c r="H734" s="18">
        <v>0</v>
      </c>
      <c r="I734" s="18">
        <v>0</v>
      </c>
      <c r="J734" s="18">
        <v>0</v>
      </c>
      <c r="K734" s="18">
        <v>0</v>
      </c>
      <c r="L734" s="18">
        <v>0</v>
      </c>
      <c r="M734" s="18">
        <v>0</v>
      </c>
      <c r="N734" s="133">
        <f>SUM(B734:M734)</f>
        <v>0</v>
      </c>
      <c r="O734" s="19">
        <f>IF(N734=0,0,AVERAGE(B734:M734))</f>
        <v>0</v>
      </c>
      <c r="P734" s="8"/>
      <c r="Q734" s="8"/>
      <c r="R734" s="8"/>
      <c r="S734" s="8"/>
      <c r="T734" s="8"/>
      <c r="U734" s="8"/>
      <c r="V734" s="8"/>
      <c r="W734" s="8"/>
      <c r="X734" s="8"/>
      <c r="Y734" s="8"/>
      <c r="Z734" s="8"/>
    </row>
    <row r="735" spans="1:26" s="9" customFormat="1" ht="15.75">
      <c r="A735" s="37" t="s">
        <v>19</v>
      </c>
      <c r="B735" s="18">
        <v>1</v>
      </c>
      <c r="C735" s="18">
        <v>0</v>
      </c>
      <c r="D735" s="18">
        <v>0</v>
      </c>
      <c r="E735" s="18">
        <v>1</v>
      </c>
      <c r="F735" s="18">
        <v>1</v>
      </c>
      <c r="G735" s="18">
        <v>2</v>
      </c>
      <c r="H735" s="18">
        <v>3</v>
      </c>
      <c r="I735" s="18">
        <v>1</v>
      </c>
      <c r="J735" s="18">
        <v>4</v>
      </c>
      <c r="K735" s="18">
        <v>0</v>
      </c>
      <c r="L735" s="18">
        <v>1</v>
      </c>
      <c r="M735" s="18">
        <v>3</v>
      </c>
      <c r="N735" s="133">
        <f>SUM(B735:M735)</f>
        <v>17</v>
      </c>
      <c r="O735" s="19">
        <f>IF(N735=0,0,AVERAGE(B735:M735))</f>
        <v>1.4166666666666667</v>
      </c>
      <c r="P735" s="8"/>
      <c r="Q735" s="8"/>
      <c r="R735" s="8"/>
      <c r="S735" s="8"/>
      <c r="T735" s="8"/>
      <c r="U735" s="8"/>
      <c r="V735" s="8"/>
      <c r="W735" s="8"/>
      <c r="X735" s="8"/>
      <c r="Y735" s="8"/>
      <c r="Z735" s="8"/>
    </row>
    <row r="736" spans="1:26" s="9" customFormat="1" ht="15.75">
      <c r="A736" s="37" t="s">
        <v>20</v>
      </c>
      <c r="B736" s="18">
        <v>0</v>
      </c>
      <c r="C736" s="18">
        <v>0</v>
      </c>
      <c r="D736" s="18">
        <v>1</v>
      </c>
      <c r="E736" s="18">
        <v>1</v>
      </c>
      <c r="F736" s="18">
        <v>2</v>
      </c>
      <c r="G736" s="18">
        <v>0</v>
      </c>
      <c r="H736" s="18">
        <v>0</v>
      </c>
      <c r="I736" s="18">
        <v>1</v>
      </c>
      <c r="J736" s="18">
        <v>0</v>
      </c>
      <c r="K736" s="18">
        <v>0</v>
      </c>
      <c r="L736" s="18">
        <v>0</v>
      </c>
      <c r="M736" s="18">
        <v>1</v>
      </c>
      <c r="N736" s="133">
        <f>SUM(B736:M736)</f>
        <v>6</v>
      </c>
      <c r="O736" s="19">
        <f>IF(N736=0,0,AVERAGE(B736:M736))</f>
        <v>0.5</v>
      </c>
      <c r="P736" s="8"/>
      <c r="Q736" s="8"/>
      <c r="R736" s="8"/>
      <c r="S736" s="8"/>
      <c r="T736" s="8"/>
      <c r="U736" s="8"/>
      <c r="V736" s="8"/>
      <c r="W736" s="8"/>
      <c r="X736" s="8"/>
      <c r="Y736" s="8"/>
      <c r="Z736" s="8"/>
    </row>
    <row r="737" spans="1:26" s="9" customFormat="1" ht="15.75">
      <c r="A737" s="56" t="s">
        <v>21</v>
      </c>
      <c r="B737" s="21">
        <f t="shared" ref="B737:C737" si="675">SUM(B734:B736)</f>
        <v>1</v>
      </c>
      <c r="C737" s="21">
        <f t="shared" si="675"/>
        <v>0</v>
      </c>
      <c r="D737" s="21">
        <f t="shared" ref="D737:E737" si="676">SUM(D734:D736)</f>
        <v>1</v>
      </c>
      <c r="E737" s="21">
        <f t="shared" si="676"/>
        <v>2</v>
      </c>
      <c r="F737" s="21">
        <f t="shared" ref="F737:G737" si="677">SUM(F734:F736)</f>
        <v>3</v>
      </c>
      <c r="G737" s="21">
        <f t="shared" si="677"/>
        <v>2</v>
      </c>
      <c r="H737" s="21">
        <f t="shared" ref="H737:I737" si="678">SUM(H734:H736)</f>
        <v>3</v>
      </c>
      <c r="I737" s="21">
        <f t="shared" si="678"/>
        <v>2</v>
      </c>
      <c r="J737" s="21">
        <f t="shared" ref="J737:K737" si="679">SUM(J734:J736)</f>
        <v>4</v>
      </c>
      <c r="K737" s="21">
        <f t="shared" si="679"/>
        <v>0</v>
      </c>
      <c r="L737" s="21">
        <f t="shared" ref="L737:M737" si="680">SUM(L734:L736)</f>
        <v>1</v>
      </c>
      <c r="M737" s="21">
        <f t="shared" si="680"/>
        <v>4</v>
      </c>
      <c r="N737" s="128">
        <f>SUM(N734:N736)</f>
        <v>23</v>
      </c>
      <c r="O737" s="22">
        <f>SUM(O734:O736)</f>
        <v>1.9166666666666667</v>
      </c>
      <c r="P737" s="8"/>
      <c r="Q737" s="8"/>
      <c r="R737" s="8"/>
      <c r="S737" s="8"/>
      <c r="T737" s="8"/>
      <c r="U737" s="8"/>
      <c r="V737" s="8"/>
      <c r="W737" s="8"/>
      <c r="X737" s="8"/>
      <c r="Y737" s="8"/>
      <c r="Z737" s="8"/>
    </row>
    <row r="738" spans="1:26" s="9" customFormat="1" ht="15.75">
      <c r="A738" s="56" t="s">
        <v>112</v>
      </c>
      <c r="B738" s="22">
        <f>IF(B737=0,"",B737/B$1676)</f>
        <v>3.2258064516129031E-2</v>
      </c>
      <c r="C738" s="22" t="s">
        <v>44</v>
      </c>
      <c r="D738" s="22">
        <f t="shared" ref="D738:I738" si="681">IF(D737=0,"",D737/D$1676)</f>
        <v>3.2258064516129031E-2</v>
      </c>
      <c r="E738" s="22">
        <f t="shared" si="681"/>
        <v>6.6666666666666666E-2</v>
      </c>
      <c r="F738" s="22">
        <f t="shared" si="681"/>
        <v>9.6774193548387094E-2</v>
      </c>
      <c r="G738" s="22">
        <f t="shared" si="681"/>
        <v>6.6666666666666666E-2</v>
      </c>
      <c r="H738" s="22">
        <f t="shared" si="681"/>
        <v>9.6774193548387094E-2</v>
      </c>
      <c r="I738" s="22">
        <f t="shared" si="681"/>
        <v>6.4516129032258063E-2</v>
      </c>
      <c r="J738" s="22">
        <f t="shared" ref="J738" si="682">IF(J737=0,"",J737/J$1676)</f>
        <v>0.13333333333333333</v>
      </c>
      <c r="K738" s="22" t="s">
        <v>44</v>
      </c>
      <c r="L738" s="22">
        <f t="shared" ref="L738:M738" si="683">IF(L737=0,"",L737/L$1676)</f>
        <v>3.3333333333333333E-2</v>
      </c>
      <c r="M738" s="22">
        <f t="shared" si="683"/>
        <v>0.12903225806451613</v>
      </c>
      <c r="N738" s="128">
        <f>SUM(B738:M738)</f>
        <v>0.75161290322580643</v>
      </c>
      <c r="O738" s="22">
        <f>IF(N738=0,0,AVERAGE(B738:M738))</f>
        <v>7.5161290322580648E-2</v>
      </c>
      <c r="P738" s="8"/>
      <c r="Q738" s="8"/>
      <c r="R738" s="8"/>
      <c r="S738" s="8"/>
      <c r="T738" s="8"/>
      <c r="U738" s="8"/>
      <c r="V738" s="8"/>
      <c r="W738" s="8"/>
      <c r="X738" s="8"/>
      <c r="Y738" s="8"/>
      <c r="Z738" s="8"/>
    </row>
    <row r="739" spans="1:26" s="9" customFormat="1" ht="15.75">
      <c r="A739" s="82"/>
      <c r="B739" s="83"/>
      <c r="C739" s="83"/>
      <c r="D739" s="83"/>
      <c r="E739" s="83"/>
      <c r="F739" s="83"/>
      <c r="G739" s="83"/>
      <c r="H739" s="83"/>
      <c r="I739" s="83"/>
      <c r="J739" s="83"/>
      <c r="K739" s="83"/>
      <c r="L739" s="83"/>
      <c r="M739" s="83"/>
      <c r="N739" s="148"/>
      <c r="O739" s="84"/>
      <c r="P739" s="8"/>
      <c r="Q739" s="8"/>
      <c r="R739" s="8"/>
      <c r="S739" s="8"/>
      <c r="T739" s="8"/>
      <c r="U739" s="8"/>
      <c r="V739" s="8"/>
      <c r="W739" s="8"/>
      <c r="X739" s="8"/>
      <c r="Y739" s="8"/>
      <c r="Z739" s="8"/>
    </row>
    <row r="740" spans="1:26" s="9" customFormat="1" ht="15.75">
      <c r="A740" s="60" t="s">
        <v>331</v>
      </c>
      <c r="B740" s="15"/>
      <c r="C740" s="15"/>
      <c r="D740" s="15"/>
      <c r="E740" s="15"/>
      <c r="F740" s="15"/>
      <c r="G740" s="15"/>
      <c r="H740" s="15"/>
      <c r="I740" s="15"/>
      <c r="J740" s="15"/>
      <c r="K740" s="15"/>
      <c r="L740" s="15"/>
      <c r="M740" s="15"/>
      <c r="N740" s="132"/>
      <c r="O740" s="16"/>
      <c r="P740" s="8"/>
      <c r="Q740" s="8"/>
      <c r="R740" s="8"/>
      <c r="S740" s="8"/>
      <c r="T740" s="8"/>
      <c r="U740" s="8"/>
      <c r="V740" s="8"/>
      <c r="W740" s="8"/>
      <c r="X740" s="8"/>
      <c r="Y740" s="8"/>
      <c r="Z740" s="8"/>
    </row>
    <row r="741" spans="1:26" s="9" customFormat="1" ht="15.75">
      <c r="A741" s="34" t="s">
        <v>114</v>
      </c>
      <c r="B741" s="18">
        <v>0</v>
      </c>
      <c r="C741" s="18">
        <v>0</v>
      </c>
      <c r="D741" s="18">
        <v>0</v>
      </c>
      <c r="E741" s="18">
        <v>0</v>
      </c>
      <c r="F741" s="18">
        <v>0</v>
      </c>
      <c r="G741" s="18">
        <v>0</v>
      </c>
      <c r="H741" s="18">
        <v>0</v>
      </c>
      <c r="I741" s="18">
        <v>0</v>
      </c>
      <c r="J741" s="18">
        <v>0</v>
      </c>
      <c r="K741" s="18">
        <v>0</v>
      </c>
      <c r="L741" s="18">
        <v>0</v>
      </c>
      <c r="M741" s="18">
        <v>0</v>
      </c>
      <c r="N741" s="133">
        <f>SUM(B741:M741)</f>
        <v>0</v>
      </c>
      <c r="O741" s="19">
        <f>IF(N741=0,0,AVERAGE(B741:M741))</f>
        <v>0</v>
      </c>
      <c r="P741" s="8"/>
      <c r="Q741" s="8"/>
      <c r="R741" s="8"/>
      <c r="S741" s="8"/>
      <c r="T741" s="8"/>
      <c r="U741" s="8"/>
      <c r="V741" s="8"/>
      <c r="W741" s="8"/>
      <c r="X741" s="8"/>
      <c r="Y741" s="8"/>
      <c r="Z741" s="8"/>
    </row>
    <row r="742" spans="1:26" s="9" customFormat="1" ht="15.75">
      <c r="A742" s="56" t="s">
        <v>21</v>
      </c>
      <c r="B742" s="21">
        <f t="shared" ref="B742:C742" si="684">SUM(B741)</f>
        <v>0</v>
      </c>
      <c r="C742" s="21">
        <f t="shared" si="684"/>
        <v>0</v>
      </c>
      <c r="D742" s="21">
        <f t="shared" ref="D742:E742" si="685">SUM(D741)</f>
        <v>0</v>
      </c>
      <c r="E742" s="21">
        <f t="shared" si="685"/>
        <v>0</v>
      </c>
      <c r="F742" s="21">
        <f t="shared" ref="F742:G742" si="686">SUM(F741)</f>
        <v>0</v>
      </c>
      <c r="G742" s="21">
        <f t="shared" si="686"/>
        <v>0</v>
      </c>
      <c r="H742" s="21">
        <f t="shared" ref="H742:I742" si="687">SUM(H741)</f>
        <v>0</v>
      </c>
      <c r="I742" s="21">
        <f t="shared" si="687"/>
        <v>0</v>
      </c>
      <c r="J742" s="21">
        <f t="shared" ref="J742:K742" si="688">SUM(J741)</f>
        <v>0</v>
      </c>
      <c r="K742" s="21">
        <f t="shared" si="688"/>
        <v>0</v>
      </c>
      <c r="L742" s="21">
        <f t="shared" ref="L742:M742" si="689">SUM(L741)</f>
        <v>0</v>
      </c>
      <c r="M742" s="21">
        <f t="shared" si="689"/>
        <v>0</v>
      </c>
      <c r="N742" s="128">
        <f>SUM(N741)</f>
        <v>0</v>
      </c>
      <c r="O742" s="22">
        <f>SUM(O741)</f>
        <v>0</v>
      </c>
      <c r="P742" s="8"/>
      <c r="Q742" s="8"/>
      <c r="R742" s="8"/>
      <c r="S742" s="8"/>
      <c r="T742" s="8"/>
      <c r="U742" s="8"/>
      <c r="V742" s="8"/>
      <c r="W742" s="8"/>
      <c r="X742" s="8"/>
      <c r="Y742" s="8"/>
      <c r="Z742" s="8"/>
    </row>
    <row r="743" spans="1:26" s="9" customFormat="1" ht="15.75">
      <c r="A743" s="56" t="s">
        <v>112</v>
      </c>
      <c r="B743" s="22" t="s">
        <v>44</v>
      </c>
      <c r="C743" s="22" t="s">
        <v>44</v>
      </c>
      <c r="D743" s="22" t="s">
        <v>44</v>
      </c>
      <c r="E743" s="22" t="s">
        <v>44</v>
      </c>
      <c r="F743" s="22" t="s">
        <v>44</v>
      </c>
      <c r="G743" s="22" t="s">
        <v>44</v>
      </c>
      <c r="H743" s="22" t="s">
        <v>44</v>
      </c>
      <c r="I743" s="22" t="s">
        <v>44</v>
      </c>
      <c r="J743" s="22" t="s">
        <v>44</v>
      </c>
      <c r="K743" s="22" t="s">
        <v>44</v>
      </c>
      <c r="L743" s="22" t="s">
        <v>44</v>
      </c>
      <c r="M743" s="22" t="s">
        <v>44</v>
      </c>
      <c r="N743" s="128">
        <f>SUM(B743:M743)</f>
        <v>0</v>
      </c>
      <c r="O743" s="22">
        <f>IF(N743=0,0,AVERAGE(B743:M743))</f>
        <v>0</v>
      </c>
      <c r="P743" s="8"/>
      <c r="Q743" s="8"/>
      <c r="R743" s="8"/>
      <c r="S743" s="8"/>
      <c r="T743" s="8"/>
      <c r="U743" s="8"/>
      <c r="V743" s="8"/>
      <c r="W743" s="8"/>
      <c r="X743" s="8"/>
      <c r="Y743" s="8"/>
      <c r="Z743" s="8"/>
    </row>
    <row r="744" spans="1:26" s="9" customFormat="1" ht="15.75">
      <c r="A744" s="82"/>
      <c r="B744" s="83"/>
      <c r="C744" s="83"/>
      <c r="D744" s="83"/>
      <c r="E744" s="83"/>
      <c r="F744" s="83"/>
      <c r="G744" s="83"/>
      <c r="H744" s="83"/>
      <c r="I744" s="83"/>
      <c r="J744" s="83"/>
      <c r="K744" s="83"/>
      <c r="L744" s="83"/>
      <c r="M744" s="83"/>
      <c r="N744" s="148"/>
      <c r="O744" s="84"/>
      <c r="P744" s="8"/>
      <c r="Q744" s="8"/>
      <c r="R744" s="8"/>
      <c r="S744" s="8"/>
      <c r="T744" s="8"/>
      <c r="U744" s="8"/>
      <c r="V744" s="8"/>
      <c r="W744" s="8"/>
      <c r="X744" s="8"/>
      <c r="Y744" s="8"/>
      <c r="Z744" s="8"/>
    </row>
    <row r="745" spans="1:26" s="9" customFormat="1" ht="15.75">
      <c r="A745" s="90" t="s">
        <v>153</v>
      </c>
      <c r="B745" s="86">
        <f t="shared" ref="B745:C745" si="690">B737</f>
        <v>1</v>
      </c>
      <c r="C745" s="86">
        <f t="shared" si="690"/>
        <v>0</v>
      </c>
      <c r="D745" s="86">
        <f t="shared" ref="D745:E745" si="691">D737</f>
        <v>1</v>
      </c>
      <c r="E745" s="86">
        <f t="shared" si="691"/>
        <v>2</v>
      </c>
      <c r="F745" s="86">
        <f t="shared" ref="F745:G745" si="692">F737</f>
        <v>3</v>
      </c>
      <c r="G745" s="86">
        <f t="shared" si="692"/>
        <v>2</v>
      </c>
      <c r="H745" s="86">
        <f t="shared" ref="H745:I745" si="693">H737</f>
        <v>3</v>
      </c>
      <c r="I745" s="86">
        <f t="shared" si="693"/>
        <v>2</v>
      </c>
      <c r="J745" s="86">
        <f t="shared" ref="J745:K745" si="694">J737</f>
        <v>4</v>
      </c>
      <c r="K745" s="86">
        <f t="shared" si="694"/>
        <v>0</v>
      </c>
      <c r="L745" s="86">
        <f t="shared" ref="L745:M745" si="695">L737</f>
        <v>1</v>
      </c>
      <c r="M745" s="86">
        <f t="shared" si="695"/>
        <v>4</v>
      </c>
      <c r="N745" s="133">
        <f>SUM(B745:M745)</f>
        <v>23</v>
      </c>
      <c r="O745" s="19">
        <f>IF(N745=0,0,AVERAGE(B745:M745))</f>
        <v>1.9166666666666667</v>
      </c>
      <c r="P745" s="8"/>
      <c r="Q745" s="8"/>
      <c r="R745" s="8"/>
      <c r="S745" s="8"/>
      <c r="T745" s="8"/>
      <c r="U745" s="8"/>
      <c r="V745" s="8"/>
      <c r="W745" s="8"/>
      <c r="X745" s="8"/>
      <c r="Y745" s="8"/>
      <c r="Z745" s="8"/>
    </row>
    <row r="746" spans="1:26" s="9" customFormat="1" ht="15.75">
      <c r="A746" s="90" t="s">
        <v>154</v>
      </c>
      <c r="B746" s="86">
        <f t="shared" ref="B746:C746" si="696">B742</f>
        <v>0</v>
      </c>
      <c r="C746" s="86">
        <f t="shared" si="696"/>
        <v>0</v>
      </c>
      <c r="D746" s="86">
        <f t="shared" ref="D746:E746" si="697">D742</f>
        <v>0</v>
      </c>
      <c r="E746" s="86">
        <f t="shared" si="697"/>
        <v>0</v>
      </c>
      <c r="F746" s="86">
        <f t="shared" ref="F746:G746" si="698">F742</f>
        <v>0</v>
      </c>
      <c r="G746" s="86">
        <f t="shared" si="698"/>
        <v>0</v>
      </c>
      <c r="H746" s="86">
        <f t="shared" ref="H746:I746" si="699">H742</f>
        <v>0</v>
      </c>
      <c r="I746" s="86">
        <f t="shared" si="699"/>
        <v>0</v>
      </c>
      <c r="J746" s="86">
        <f t="shared" ref="J746:K746" si="700">J742</f>
        <v>0</v>
      </c>
      <c r="K746" s="86">
        <f t="shared" si="700"/>
        <v>0</v>
      </c>
      <c r="L746" s="86">
        <f t="shared" ref="L746:M746" si="701">L742</f>
        <v>0</v>
      </c>
      <c r="M746" s="86">
        <f t="shared" si="701"/>
        <v>0</v>
      </c>
      <c r="N746" s="133">
        <f>SUM(B746:M746)</f>
        <v>0</v>
      </c>
      <c r="O746" s="19">
        <f>IF(N746=0,0,AVERAGE(B746:M746))</f>
        <v>0</v>
      </c>
      <c r="P746" s="8"/>
      <c r="Q746" s="8"/>
      <c r="R746" s="8"/>
      <c r="S746" s="8"/>
      <c r="T746" s="8"/>
      <c r="U746" s="8"/>
      <c r="V746" s="8"/>
      <c r="W746" s="8"/>
      <c r="X746" s="8"/>
      <c r="Y746" s="8"/>
      <c r="Z746" s="8"/>
    </row>
    <row r="747" spans="1:26" s="9" customFormat="1" ht="15.75">
      <c r="A747" s="342" t="s">
        <v>155</v>
      </c>
      <c r="B747" s="333">
        <f t="shared" ref="B747:C747" si="702">SUM(B745:B746)</f>
        <v>1</v>
      </c>
      <c r="C747" s="333">
        <f t="shared" si="702"/>
        <v>0</v>
      </c>
      <c r="D747" s="333">
        <f t="shared" ref="D747:E747" si="703">SUM(D745:D746)</f>
        <v>1</v>
      </c>
      <c r="E747" s="333">
        <f t="shared" si="703"/>
        <v>2</v>
      </c>
      <c r="F747" s="333">
        <f t="shared" ref="F747:G747" si="704">SUM(F745:F746)</f>
        <v>3</v>
      </c>
      <c r="G747" s="333">
        <f t="shared" si="704"/>
        <v>2</v>
      </c>
      <c r="H747" s="333">
        <f t="shared" ref="H747:I747" si="705">SUM(H745:H746)</f>
        <v>3</v>
      </c>
      <c r="I747" s="333">
        <f t="shared" si="705"/>
        <v>2</v>
      </c>
      <c r="J747" s="333">
        <f t="shared" ref="J747:K747" si="706">SUM(J745:J746)</f>
        <v>4</v>
      </c>
      <c r="K747" s="333">
        <f t="shared" si="706"/>
        <v>0</v>
      </c>
      <c r="L747" s="333">
        <f t="shared" ref="L747:M747" si="707">SUM(L745:L746)</f>
        <v>1</v>
      </c>
      <c r="M747" s="333">
        <f t="shared" si="707"/>
        <v>4</v>
      </c>
      <c r="N747" s="334">
        <f>SUM(N745:N746)</f>
        <v>23</v>
      </c>
      <c r="O747" s="335">
        <f>SUM(O745:O746)</f>
        <v>1.9166666666666667</v>
      </c>
      <c r="P747" s="8"/>
      <c r="Q747" s="8"/>
      <c r="R747" s="8"/>
      <c r="S747" s="8"/>
      <c r="T747" s="8"/>
      <c r="U747" s="8"/>
      <c r="V747" s="8"/>
      <c r="W747" s="8"/>
      <c r="X747" s="8"/>
      <c r="Y747" s="8"/>
      <c r="Z747" s="8"/>
    </row>
    <row r="748" spans="1:26" s="9" customFormat="1" ht="15.75">
      <c r="A748" s="82"/>
      <c r="B748" s="321"/>
      <c r="C748" s="321"/>
      <c r="D748" s="321"/>
      <c r="E748" s="321"/>
      <c r="F748" s="321"/>
      <c r="G748" s="321"/>
      <c r="H748" s="321"/>
      <c r="I748" s="321"/>
      <c r="J748" s="321"/>
      <c r="K748" s="321"/>
      <c r="L748" s="321"/>
      <c r="M748" s="321"/>
      <c r="N748" s="147"/>
      <c r="O748" s="322"/>
      <c r="P748" s="8"/>
      <c r="Q748" s="8"/>
      <c r="R748" s="8"/>
      <c r="S748" s="8"/>
      <c r="T748" s="8"/>
      <c r="U748" s="8"/>
      <c r="V748" s="8"/>
      <c r="W748" s="8"/>
      <c r="X748" s="8"/>
      <c r="Y748" s="8"/>
      <c r="Z748" s="8"/>
    </row>
    <row r="749" spans="1:26" s="9" customFormat="1" ht="15.75">
      <c r="A749" s="352" t="s">
        <v>664</v>
      </c>
      <c r="B749" s="358"/>
      <c r="C749" s="358"/>
      <c r="D749" s="358"/>
      <c r="E749" s="358"/>
      <c r="F749" s="358"/>
      <c r="G749" s="358"/>
      <c r="H749" s="358"/>
      <c r="I749" s="358"/>
      <c r="J749" s="358"/>
      <c r="K749" s="358"/>
      <c r="L749" s="358"/>
      <c r="M749" s="358"/>
      <c r="N749" s="359"/>
      <c r="O749" s="360"/>
      <c r="P749" s="8"/>
      <c r="Q749" s="8"/>
      <c r="R749" s="8"/>
      <c r="S749" s="8"/>
      <c r="T749" s="8"/>
      <c r="U749" s="8"/>
      <c r="V749" s="8"/>
      <c r="W749" s="8"/>
      <c r="X749" s="8"/>
      <c r="Y749" s="8"/>
      <c r="Z749" s="8"/>
    </row>
    <row r="750" spans="1:26" s="9" customFormat="1" ht="15.75">
      <c r="A750" s="332" t="s">
        <v>174</v>
      </c>
      <c r="B750" s="18">
        <v>1</v>
      </c>
      <c r="C750" s="18">
        <v>0</v>
      </c>
      <c r="D750" s="18">
        <v>1</v>
      </c>
      <c r="E750" s="18">
        <v>0</v>
      </c>
      <c r="F750" s="18">
        <v>1</v>
      </c>
      <c r="G750" s="18">
        <v>2</v>
      </c>
      <c r="H750" s="18">
        <v>0</v>
      </c>
      <c r="I750" s="18">
        <v>1</v>
      </c>
      <c r="J750" s="18">
        <v>4</v>
      </c>
      <c r="K750" s="18">
        <v>0</v>
      </c>
      <c r="L750" s="18">
        <v>1</v>
      </c>
      <c r="M750" s="18">
        <v>3</v>
      </c>
      <c r="N750" s="133">
        <f>SUM(B750:M750)</f>
        <v>14</v>
      </c>
      <c r="O750" s="19">
        <f>IF(N750=0,0,AVERAGE(B750:M750))</f>
        <v>1.1666666666666667</v>
      </c>
      <c r="P750" s="8"/>
      <c r="Q750" s="8"/>
      <c r="R750" s="8"/>
      <c r="S750" s="8"/>
      <c r="T750" s="8"/>
      <c r="U750" s="8"/>
      <c r="V750" s="8"/>
      <c r="W750" s="8"/>
      <c r="X750" s="8"/>
      <c r="Y750" s="8"/>
      <c r="Z750" s="8"/>
    </row>
    <row r="751" spans="1:26" s="9" customFormat="1" ht="15.75">
      <c r="A751" s="332" t="s">
        <v>679</v>
      </c>
      <c r="B751" s="18">
        <v>1</v>
      </c>
      <c r="C751" s="18">
        <v>0</v>
      </c>
      <c r="D751" s="18">
        <v>0</v>
      </c>
      <c r="E751" s="18">
        <v>2</v>
      </c>
      <c r="F751" s="18">
        <v>2</v>
      </c>
      <c r="G751" s="18">
        <v>2</v>
      </c>
      <c r="H751" s="18">
        <v>2</v>
      </c>
      <c r="I751" s="18">
        <v>2</v>
      </c>
      <c r="J751" s="18">
        <v>2</v>
      </c>
      <c r="K751" s="18">
        <v>0</v>
      </c>
      <c r="L751" s="18">
        <v>1</v>
      </c>
      <c r="M751" s="18">
        <v>2</v>
      </c>
      <c r="N751" s="133">
        <f>SUM(B751:M751)</f>
        <v>16</v>
      </c>
      <c r="O751" s="19">
        <f>IF(N751=0,0,AVERAGE(B751:M751))</f>
        <v>1.3333333333333333</v>
      </c>
      <c r="P751" s="8"/>
      <c r="Q751" s="8"/>
      <c r="R751" s="8"/>
      <c r="S751" s="8"/>
      <c r="T751" s="8"/>
      <c r="U751" s="8"/>
      <c r="V751" s="8"/>
      <c r="W751" s="8"/>
      <c r="X751" s="8"/>
      <c r="Y751" s="8"/>
      <c r="Z751" s="8"/>
    </row>
    <row r="752" spans="1:26" s="9" customFormat="1" ht="15.75">
      <c r="A752" s="332" t="s">
        <v>22</v>
      </c>
      <c r="B752" s="18">
        <v>0</v>
      </c>
      <c r="C752" s="18">
        <v>0</v>
      </c>
      <c r="D752" s="18">
        <v>0</v>
      </c>
      <c r="E752" s="18">
        <v>0</v>
      </c>
      <c r="F752" s="18">
        <v>0</v>
      </c>
      <c r="G752" s="18">
        <v>0</v>
      </c>
      <c r="H752" s="18">
        <v>0</v>
      </c>
      <c r="I752" s="18">
        <v>0</v>
      </c>
      <c r="J752" s="18">
        <v>0</v>
      </c>
      <c r="K752" s="18">
        <v>0</v>
      </c>
      <c r="L752" s="18">
        <v>0</v>
      </c>
      <c r="M752" s="18">
        <v>0</v>
      </c>
      <c r="N752" s="133">
        <f>SUM(B752:M752)</f>
        <v>0</v>
      </c>
      <c r="O752" s="19">
        <f>IF(N752=0,0,AVERAGE(B752:M752))</f>
        <v>0</v>
      </c>
      <c r="P752" s="8"/>
      <c r="Q752" s="8"/>
      <c r="R752" s="8"/>
      <c r="S752" s="8"/>
      <c r="T752" s="8"/>
      <c r="U752" s="8"/>
      <c r="V752" s="8"/>
      <c r="W752" s="8"/>
      <c r="X752" s="8"/>
      <c r="Y752" s="8"/>
      <c r="Z752" s="8"/>
    </row>
    <row r="753" spans="1:26" s="9" customFormat="1" ht="15.75">
      <c r="A753" s="240" t="s">
        <v>21</v>
      </c>
      <c r="B753" s="333">
        <f t="shared" ref="B753:F753" si="708">SUM(B750:B752)</f>
        <v>2</v>
      </c>
      <c r="C753" s="333">
        <f t="shared" si="708"/>
        <v>0</v>
      </c>
      <c r="D753" s="333">
        <f t="shared" si="708"/>
        <v>1</v>
      </c>
      <c r="E753" s="333">
        <f t="shared" si="708"/>
        <v>2</v>
      </c>
      <c r="F753" s="333">
        <f t="shared" si="708"/>
        <v>3</v>
      </c>
      <c r="G753" s="333">
        <f t="shared" ref="G753:J753" si="709">SUM(G750:G752)</f>
        <v>4</v>
      </c>
      <c r="H753" s="333">
        <f t="shared" si="709"/>
        <v>2</v>
      </c>
      <c r="I753" s="333">
        <f t="shared" si="709"/>
        <v>3</v>
      </c>
      <c r="J753" s="333">
        <f t="shared" si="709"/>
        <v>6</v>
      </c>
      <c r="K753" s="333">
        <f t="shared" ref="K753:M753" si="710">SUM(K750:K752)</f>
        <v>0</v>
      </c>
      <c r="L753" s="333">
        <f t="shared" si="710"/>
        <v>2</v>
      </c>
      <c r="M753" s="333">
        <f t="shared" si="710"/>
        <v>5</v>
      </c>
      <c r="N753" s="334">
        <f>SUM(N750:N752)</f>
        <v>30</v>
      </c>
      <c r="O753" s="335">
        <f>SUM(O750:O752)</f>
        <v>2.5</v>
      </c>
      <c r="P753" s="8"/>
      <c r="Q753" s="8"/>
      <c r="R753" s="8"/>
      <c r="S753" s="8"/>
      <c r="T753" s="8"/>
      <c r="U753" s="8"/>
      <c r="V753" s="8"/>
      <c r="W753" s="8"/>
      <c r="X753" s="8"/>
      <c r="Y753" s="8"/>
      <c r="Z753" s="8"/>
    </row>
    <row r="754" spans="1:26" s="9" customFormat="1" ht="15.75">
      <c r="A754" s="82"/>
      <c r="B754" s="321"/>
      <c r="C754" s="321"/>
      <c r="D754" s="321"/>
      <c r="E754" s="321"/>
      <c r="F754" s="321"/>
      <c r="G754" s="321"/>
      <c r="H754" s="321"/>
      <c r="I754" s="321"/>
      <c r="J754" s="321"/>
      <c r="K754" s="321"/>
      <c r="L754" s="321"/>
      <c r="M754" s="321"/>
      <c r="N754" s="147"/>
      <c r="O754" s="322"/>
      <c r="P754" s="8"/>
      <c r="Q754" s="8"/>
      <c r="R754" s="8"/>
      <c r="S754" s="8"/>
      <c r="T754" s="8"/>
      <c r="U754" s="8"/>
      <c r="V754" s="8"/>
      <c r="W754" s="8"/>
      <c r="X754" s="8"/>
      <c r="Y754" s="8"/>
      <c r="Z754" s="8"/>
    </row>
    <row r="755" spans="1:26" s="9" customFormat="1" ht="15.75">
      <c r="A755" s="91" t="s">
        <v>736</v>
      </c>
      <c r="B755" s="92"/>
      <c r="C755" s="92"/>
      <c r="D755" s="92"/>
      <c r="E755" s="92"/>
      <c r="F755" s="92"/>
      <c r="G755" s="92"/>
      <c r="H755" s="92"/>
      <c r="I755" s="92"/>
      <c r="J755" s="92"/>
      <c r="K755" s="92"/>
      <c r="L755" s="92"/>
      <c r="M755" s="92"/>
      <c r="N755" s="150"/>
      <c r="O755" s="93"/>
      <c r="P755" s="8"/>
      <c r="Q755" s="8"/>
      <c r="R755" s="8"/>
      <c r="S755" s="8"/>
      <c r="T755" s="8"/>
      <c r="U755" s="8"/>
      <c r="V755" s="8"/>
      <c r="W755" s="8"/>
      <c r="X755" s="8"/>
      <c r="Y755" s="8"/>
      <c r="Z755" s="8"/>
    </row>
    <row r="756" spans="1:26" s="9" customFormat="1" ht="15.75">
      <c r="A756" s="60" t="s">
        <v>737</v>
      </c>
      <c r="B756" s="15"/>
      <c r="C756" s="15"/>
      <c r="D756" s="15"/>
      <c r="E756" s="15"/>
      <c r="F756" s="15"/>
      <c r="G756" s="15"/>
      <c r="H756" s="15"/>
      <c r="I756" s="15"/>
      <c r="J756" s="15"/>
      <c r="K756" s="15"/>
      <c r="L756" s="15"/>
      <c r="M756" s="15"/>
      <c r="N756" s="132"/>
      <c r="O756" s="16"/>
      <c r="P756" s="8"/>
      <c r="Q756" s="8"/>
      <c r="R756" s="8"/>
      <c r="S756" s="8"/>
      <c r="T756" s="8"/>
      <c r="U756" s="8"/>
      <c r="V756" s="8"/>
      <c r="W756" s="8"/>
      <c r="X756" s="8"/>
      <c r="Y756" s="8"/>
      <c r="Z756" s="8"/>
    </row>
    <row r="757" spans="1:26" s="9" customFormat="1" ht="15.75">
      <c r="A757" s="37" t="s">
        <v>18</v>
      </c>
      <c r="B757" s="18">
        <v>0</v>
      </c>
      <c r="C757" s="18">
        <v>2</v>
      </c>
      <c r="D757" s="18">
        <v>0</v>
      </c>
      <c r="E757" s="18">
        <v>0</v>
      </c>
      <c r="F757" s="18">
        <v>0</v>
      </c>
      <c r="G757" s="18">
        <v>0</v>
      </c>
      <c r="H757" s="18">
        <v>0</v>
      </c>
      <c r="I757" s="18">
        <v>0</v>
      </c>
      <c r="J757" s="18">
        <v>0</v>
      </c>
      <c r="K757" s="18">
        <v>0</v>
      </c>
      <c r="L757" s="18">
        <v>1</v>
      </c>
      <c r="M757" s="18">
        <v>2</v>
      </c>
      <c r="N757" s="133">
        <f>SUM(B757:M757)</f>
        <v>5</v>
      </c>
      <c r="O757" s="19">
        <f>IF(N757=0,0,AVERAGE(B757:M757))</f>
        <v>0.41666666666666669</v>
      </c>
      <c r="P757" s="8"/>
      <c r="Q757" s="8"/>
      <c r="R757" s="8"/>
      <c r="S757" s="8"/>
      <c r="T757" s="8"/>
      <c r="U757" s="8"/>
      <c r="V757" s="8"/>
      <c r="W757" s="8"/>
      <c r="X757" s="8"/>
      <c r="Y757" s="8"/>
      <c r="Z757" s="8"/>
    </row>
    <row r="758" spans="1:26" s="9" customFormat="1" ht="15.75">
      <c r="A758" s="37" t="s">
        <v>19</v>
      </c>
      <c r="B758" s="18">
        <v>5</v>
      </c>
      <c r="C758" s="18">
        <v>10</v>
      </c>
      <c r="D758" s="18">
        <v>6</v>
      </c>
      <c r="E758" s="18">
        <v>4</v>
      </c>
      <c r="F758" s="18">
        <v>7</v>
      </c>
      <c r="G758" s="18">
        <v>9</v>
      </c>
      <c r="H758" s="18">
        <v>6</v>
      </c>
      <c r="I758" s="18">
        <v>12</v>
      </c>
      <c r="J758" s="18">
        <v>10</v>
      </c>
      <c r="K758" s="18">
        <v>11</v>
      </c>
      <c r="L758" s="18">
        <v>11</v>
      </c>
      <c r="M758" s="18">
        <v>9</v>
      </c>
      <c r="N758" s="133">
        <f>SUM(B758:M758)</f>
        <v>100</v>
      </c>
      <c r="O758" s="19">
        <f>IF(N758=0,0,AVERAGE(B758:M758))</f>
        <v>8.3333333333333339</v>
      </c>
      <c r="P758" s="8"/>
      <c r="Q758" s="8"/>
      <c r="R758" s="8"/>
      <c r="S758" s="8"/>
      <c r="T758" s="8"/>
      <c r="U758" s="8"/>
      <c r="V758" s="8"/>
      <c r="W758" s="8"/>
      <c r="X758" s="8"/>
      <c r="Y758" s="8"/>
      <c r="Z758" s="8"/>
    </row>
    <row r="759" spans="1:26" s="9" customFormat="1" ht="15.75">
      <c r="A759" s="37" t="s">
        <v>20</v>
      </c>
      <c r="B759" s="18">
        <v>3</v>
      </c>
      <c r="C759" s="18">
        <v>2</v>
      </c>
      <c r="D759" s="18">
        <v>4</v>
      </c>
      <c r="E759" s="18">
        <v>0</v>
      </c>
      <c r="F759" s="18">
        <v>4</v>
      </c>
      <c r="G759" s="18">
        <v>2</v>
      </c>
      <c r="H759" s="18">
        <v>1</v>
      </c>
      <c r="I759" s="18">
        <v>4</v>
      </c>
      <c r="J759" s="18">
        <v>0</v>
      </c>
      <c r="K759" s="18">
        <v>3</v>
      </c>
      <c r="L759" s="18">
        <v>7</v>
      </c>
      <c r="M759" s="18">
        <v>7</v>
      </c>
      <c r="N759" s="133">
        <f>SUM(B759:M759)</f>
        <v>37</v>
      </c>
      <c r="O759" s="19">
        <f>IF(N759=0,0,AVERAGE(B759:M759))</f>
        <v>3.0833333333333335</v>
      </c>
      <c r="P759" s="8"/>
      <c r="Q759" s="8"/>
      <c r="R759" s="8"/>
      <c r="S759" s="8"/>
      <c r="T759" s="8"/>
      <c r="U759" s="8"/>
      <c r="V759" s="8"/>
      <c r="W759" s="8"/>
      <c r="X759" s="8"/>
      <c r="Y759" s="8"/>
      <c r="Z759" s="8"/>
    </row>
    <row r="760" spans="1:26" s="9" customFormat="1" ht="15.75">
      <c r="A760" s="56" t="s">
        <v>21</v>
      </c>
      <c r="B760" s="21">
        <f t="shared" ref="B760:C760" si="711">SUM(B757:B759)</f>
        <v>8</v>
      </c>
      <c r="C760" s="21">
        <f t="shared" si="711"/>
        <v>14</v>
      </c>
      <c r="D760" s="21">
        <f t="shared" ref="D760:E760" si="712">SUM(D757:D759)</f>
        <v>10</v>
      </c>
      <c r="E760" s="21">
        <f t="shared" si="712"/>
        <v>4</v>
      </c>
      <c r="F760" s="21">
        <f t="shared" ref="F760:G760" si="713">SUM(F757:F759)</f>
        <v>11</v>
      </c>
      <c r="G760" s="21">
        <f t="shared" si="713"/>
        <v>11</v>
      </c>
      <c r="H760" s="21">
        <f t="shared" ref="H760:I760" si="714">SUM(H757:H759)</f>
        <v>7</v>
      </c>
      <c r="I760" s="21">
        <f t="shared" si="714"/>
        <v>16</v>
      </c>
      <c r="J760" s="21">
        <f t="shared" ref="J760:K760" si="715">SUM(J757:J759)</f>
        <v>10</v>
      </c>
      <c r="K760" s="21">
        <f t="shared" si="715"/>
        <v>14</v>
      </c>
      <c r="L760" s="21">
        <f t="shared" ref="L760:M760" si="716">SUM(L757:L759)</f>
        <v>19</v>
      </c>
      <c r="M760" s="21">
        <f t="shared" si="716"/>
        <v>18</v>
      </c>
      <c r="N760" s="128">
        <f>SUM(N757:N759)</f>
        <v>142</v>
      </c>
      <c r="O760" s="22">
        <f>SUM(O757:O759)</f>
        <v>11.833333333333334</v>
      </c>
      <c r="P760" s="8"/>
      <c r="Q760" s="8"/>
      <c r="R760" s="8"/>
      <c r="S760" s="8"/>
      <c r="T760" s="8"/>
      <c r="U760" s="8"/>
      <c r="V760" s="8"/>
      <c r="W760" s="8"/>
      <c r="X760" s="8"/>
      <c r="Y760" s="8"/>
      <c r="Z760" s="8"/>
    </row>
    <row r="761" spans="1:26" s="9" customFormat="1" ht="15.75">
      <c r="A761" s="56" t="s">
        <v>112</v>
      </c>
      <c r="B761" s="22">
        <f t="shared" ref="B761:G761" si="717">IF(B760=0,"",B760/B$1676)</f>
        <v>0.25806451612903225</v>
      </c>
      <c r="C761" s="22">
        <f t="shared" si="717"/>
        <v>0.5</v>
      </c>
      <c r="D761" s="22">
        <f t="shared" si="717"/>
        <v>0.32258064516129031</v>
      </c>
      <c r="E761" s="22">
        <f t="shared" si="717"/>
        <v>0.13333333333333333</v>
      </c>
      <c r="F761" s="22">
        <f t="shared" si="717"/>
        <v>0.35483870967741937</v>
      </c>
      <c r="G761" s="22">
        <f t="shared" si="717"/>
        <v>0.36666666666666664</v>
      </c>
      <c r="H761" s="22">
        <f t="shared" ref="H761:I761" si="718">IF(H760=0,"",H760/H$1676)</f>
        <v>0.22580645161290322</v>
      </c>
      <c r="I761" s="22">
        <f t="shared" si="718"/>
        <v>0.5161290322580645</v>
      </c>
      <c r="J761" s="22">
        <f t="shared" ref="J761:K761" si="719">IF(J760=0,"",J760/J$1676)</f>
        <v>0.33333333333333331</v>
      </c>
      <c r="K761" s="22">
        <f t="shared" si="719"/>
        <v>0.45161290322580644</v>
      </c>
      <c r="L761" s="22">
        <f t="shared" ref="L761:M761" si="720">IF(L760=0,"",L760/L$1676)</f>
        <v>0.6333333333333333</v>
      </c>
      <c r="M761" s="22">
        <f t="shared" si="720"/>
        <v>0.58064516129032262</v>
      </c>
      <c r="N761" s="128">
        <f>SUM(B761:M761)</f>
        <v>4.6763440860215058</v>
      </c>
      <c r="O761" s="22">
        <f>IF(N761=0,0,AVERAGE(B761:M761))</f>
        <v>0.38969534050179216</v>
      </c>
      <c r="P761" s="8"/>
      <c r="Q761" s="8"/>
      <c r="R761" s="8"/>
      <c r="S761" s="8"/>
      <c r="T761" s="8"/>
      <c r="U761" s="8"/>
      <c r="V761" s="8"/>
      <c r="W761" s="8"/>
      <c r="X761" s="8"/>
      <c r="Y761" s="8"/>
      <c r="Z761" s="8"/>
    </row>
    <row r="762" spans="1:26" s="9" customFormat="1" ht="15.75">
      <c r="A762" s="82"/>
      <c r="B762" s="83"/>
      <c r="C762" s="83"/>
      <c r="D762" s="83"/>
      <c r="E762" s="83"/>
      <c r="F762" s="83"/>
      <c r="G762" s="83"/>
      <c r="H762" s="83"/>
      <c r="I762" s="83"/>
      <c r="J762" s="83"/>
      <c r="K762" s="83"/>
      <c r="L762" s="83"/>
      <c r="M762" s="83"/>
      <c r="N762" s="148"/>
      <c r="O762" s="84"/>
      <c r="P762" s="8"/>
      <c r="Q762" s="8"/>
      <c r="R762" s="8"/>
      <c r="S762" s="8"/>
      <c r="T762" s="8"/>
      <c r="U762" s="8"/>
      <c r="V762" s="8"/>
      <c r="W762" s="8"/>
      <c r="X762" s="8"/>
      <c r="Y762" s="8"/>
      <c r="Z762" s="8"/>
    </row>
    <row r="763" spans="1:26" s="9" customFormat="1" ht="15.75">
      <c r="A763" s="60" t="s">
        <v>738</v>
      </c>
      <c r="B763" s="15"/>
      <c r="C763" s="15"/>
      <c r="D763" s="15"/>
      <c r="E763" s="15"/>
      <c r="F763" s="15"/>
      <c r="G763" s="15"/>
      <c r="H763" s="15"/>
      <c r="I763" s="15"/>
      <c r="J763" s="15"/>
      <c r="K763" s="15"/>
      <c r="L763" s="15"/>
      <c r="M763" s="15"/>
      <c r="N763" s="132"/>
      <c r="O763" s="16"/>
      <c r="P763" s="8"/>
      <c r="Q763" s="8"/>
      <c r="R763" s="8"/>
      <c r="S763" s="8"/>
      <c r="T763" s="8"/>
      <c r="U763" s="8"/>
      <c r="V763" s="8"/>
      <c r="W763" s="8"/>
      <c r="X763" s="8"/>
      <c r="Y763" s="8"/>
      <c r="Z763" s="8"/>
    </row>
    <row r="764" spans="1:26" s="9" customFormat="1" ht="15.75">
      <c r="A764" s="34" t="s">
        <v>114</v>
      </c>
      <c r="B764" s="18">
        <v>3</v>
      </c>
      <c r="C764" s="18">
        <v>0</v>
      </c>
      <c r="D764" s="18">
        <v>0</v>
      </c>
      <c r="E764" s="18">
        <v>0</v>
      </c>
      <c r="F764" s="18">
        <v>0</v>
      </c>
      <c r="G764" s="18">
        <v>0</v>
      </c>
      <c r="H764" s="18">
        <v>0</v>
      </c>
      <c r="I764" s="18">
        <v>0</v>
      </c>
      <c r="J764" s="18">
        <v>0</v>
      </c>
      <c r="K764" s="18">
        <v>0</v>
      </c>
      <c r="L764" s="18">
        <v>0</v>
      </c>
      <c r="M764" s="18">
        <v>0</v>
      </c>
      <c r="N764" s="133">
        <f>SUM(B764:M764)</f>
        <v>3</v>
      </c>
      <c r="O764" s="19">
        <f>IF(N764=0,0,AVERAGE(B764:M764))</f>
        <v>0.25</v>
      </c>
      <c r="P764" s="8"/>
      <c r="Q764" s="8"/>
      <c r="R764" s="8"/>
      <c r="S764" s="8"/>
      <c r="T764" s="8"/>
      <c r="U764" s="8"/>
      <c r="V764" s="8"/>
      <c r="W764" s="8"/>
      <c r="X764" s="8"/>
      <c r="Y764" s="8"/>
      <c r="Z764" s="8"/>
    </row>
    <row r="765" spans="1:26" s="9" customFormat="1" ht="15.75">
      <c r="A765" s="56" t="s">
        <v>21</v>
      </c>
      <c r="B765" s="21">
        <f t="shared" ref="B765:C765" si="721">SUM(B764)</f>
        <v>3</v>
      </c>
      <c r="C765" s="21">
        <f t="shared" si="721"/>
        <v>0</v>
      </c>
      <c r="D765" s="21">
        <f t="shared" ref="D765:E765" si="722">SUM(D764)</f>
        <v>0</v>
      </c>
      <c r="E765" s="21">
        <f t="shared" si="722"/>
        <v>0</v>
      </c>
      <c r="F765" s="21">
        <f t="shared" ref="F765:G765" si="723">SUM(F764)</f>
        <v>0</v>
      </c>
      <c r="G765" s="21">
        <f t="shared" si="723"/>
        <v>0</v>
      </c>
      <c r="H765" s="21">
        <f t="shared" ref="H765:I765" si="724">SUM(H764)</f>
        <v>0</v>
      </c>
      <c r="I765" s="21">
        <f t="shared" si="724"/>
        <v>0</v>
      </c>
      <c r="J765" s="21">
        <f t="shared" ref="J765:K765" si="725">SUM(J764)</f>
        <v>0</v>
      </c>
      <c r="K765" s="21">
        <f t="shared" si="725"/>
        <v>0</v>
      </c>
      <c r="L765" s="21">
        <f t="shared" ref="L765:M765" si="726">SUM(L764)</f>
        <v>0</v>
      </c>
      <c r="M765" s="21">
        <f t="shared" si="726"/>
        <v>0</v>
      </c>
      <c r="N765" s="128">
        <f>SUM(N764)</f>
        <v>3</v>
      </c>
      <c r="O765" s="22">
        <f>SUM(O764)</f>
        <v>0.25</v>
      </c>
      <c r="P765" s="8"/>
      <c r="Q765" s="8"/>
      <c r="R765" s="8"/>
      <c r="S765" s="8"/>
      <c r="T765" s="8"/>
      <c r="U765" s="8"/>
      <c r="V765" s="8"/>
      <c r="W765" s="8"/>
      <c r="X765" s="8"/>
      <c r="Y765" s="8"/>
      <c r="Z765" s="8"/>
    </row>
    <row r="766" spans="1:26" s="9" customFormat="1" ht="15.75">
      <c r="A766" s="56" t="s">
        <v>112</v>
      </c>
      <c r="B766" s="22">
        <f>IF(B765=0,"",B765/B$1676)</f>
        <v>9.6774193548387094E-2</v>
      </c>
      <c r="C766" s="22" t="s">
        <v>44</v>
      </c>
      <c r="D766" s="22" t="s">
        <v>44</v>
      </c>
      <c r="E766" s="22" t="s">
        <v>44</v>
      </c>
      <c r="F766" s="22" t="s">
        <v>44</v>
      </c>
      <c r="G766" s="22" t="s">
        <v>44</v>
      </c>
      <c r="H766" s="22" t="s">
        <v>44</v>
      </c>
      <c r="I766" s="22" t="s">
        <v>44</v>
      </c>
      <c r="J766" s="22" t="s">
        <v>44</v>
      </c>
      <c r="K766" s="22" t="s">
        <v>44</v>
      </c>
      <c r="L766" s="22" t="s">
        <v>44</v>
      </c>
      <c r="M766" s="22" t="s">
        <v>44</v>
      </c>
      <c r="N766" s="128">
        <f>SUM(B766:M766)</f>
        <v>9.6774193548387094E-2</v>
      </c>
      <c r="O766" s="22">
        <f>IF(N766=0,0,AVERAGE(B766:M766))</f>
        <v>9.6774193548387094E-2</v>
      </c>
      <c r="P766" s="8"/>
      <c r="Q766" s="8"/>
      <c r="R766" s="8"/>
      <c r="S766" s="8"/>
      <c r="T766" s="8"/>
      <c r="U766" s="8"/>
      <c r="V766" s="8"/>
      <c r="W766" s="8"/>
      <c r="X766" s="8"/>
      <c r="Y766" s="8"/>
      <c r="Z766" s="8"/>
    </row>
    <row r="767" spans="1:26" s="9" customFormat="1" ht="15.75">
      <c r="A767" s="82"/>
      <c r="B767" s="83"/>
      <c r="C767" s="83"/>
      <c r="D767" s="83"/>
      <c r="E767" s="83"/>
      <c r="F767" s="83"/>
      <c r="G767" s="83"/>
      <c r="H767" s="83"/>
      <c r="I767" s="83"/>
      <c r="J767" s="83"/>
      <c r="K767" s="83"/>
      <c r="L767" s="83"/>
      <c r="M767" s="83"/>
      <c r="N767" s="148"/>
      <c r="O767" s="84"/>
      <c r="P767" s="8"/>
      <c r="Q767" s="8"/>
      <c r="R767" s="8"/>
      <c r="S767" s="8"/>
      <c r="T767" s="8"/>
      <c r="U767" s="8"/>
      <c r="V767" s="8"/>
      <c r="W767" s="8"/>
      <c r="X767" s="8"/>
      <c r="Y767" s="8"/>
      <c r="Z767" s="8"/>
    </row>
    <row r="768" spans="1:26" s="9" customFormat="1" ht="15.75">
      <c r="A768" s="90" t="s">
        <v>153</v>
      </c>
      <c r="B768" s="86">
        <f t="shared" ref="B768:C768" si="727">B760</f>
        <v>8</v>
      </c>
      <c r="C768" s="86">
        <f t="shared" si="727"/>
        <v>14</v>
      </c>
      <c r="D768" s="86">
        <f t="shared" ref="D768:E768" si="728">D760</f>
        <v>10</v>
      </c>
      <c r="E768" s="86">
        <f t="shared" si="728"/>
        <v>4</v>
      </c>
      <c r="F768" s="86">
        <f t="shared" ref="F768:G768" si="729">F760</f>
        <v>11</v>
      </c>
      <c r="G768" s="86">
        <f t="shared" si="729"/>
        <v>11</v>
      </c>
      <c r="H768" s="86">
        <f t="shared" ref="H768:I768" si="730">H760</f>
        <v>7</v>
      </c>
      <c r="I768" s="86">
        <f t="shared" si="730"/>
        <v>16</v>
      </c>
      <c r="J768" s="86">
        <f t="shared" ref="J768:K768" si="731">J760</f>
        <v>10</v>
      </c>
      <c r="K768" s="86">
        <f t="shared" si="731"/>
        <v>14</v>
      </c>
      <c r="L768" s="86">
        <f t="shared" ref="L768:M768" si="732">L760</f>
        <v>19</v>
      </c>
      <c r="M768" s="86">
        <f t="shared" si="732"/>
        <v>18</v>
      </c>
      <c r="N768" s="133">
        <f>SUM(B768:M768)</f>
        <v>142</v>
      </c>
      <c r="O768" s="19">
        <f>IF(N768=0,0,AVERAGE(B768:M768))</f>
        <v>11.833333333333334</v>
      </c>
      <c r="P768" s="8"/>
      <c r="Q768" s="8"/>
      <c r="R768" s="8"/>
      <c r="S768" s="8"/>
      <c r="T768" s="8"/>
      <c r="U768" s="8"/>
      <c r="V768" s="8"/>
      <c r="W768" s="8"/>
      <c r="X768" s="8"/>
      <c r="Y768" s="8"/>
      <c r="Z768" s="8"/>
    </row>
    <row r="769" spans="1:26" s="9" customFormat="1" ht="15.75">
      <c r="A769" s="90" t="s">
        <v>154</v>
      </c>
      <c r="B769" s="86">
        <f t="shared" ref="B769:C769" si="733">B765</f>
        <v>3</v>
      </c>
      <c r="C769" s="86">
        <f t="shared" si="733"/>
        <v>0</v>
      </c>
      <c r="D769" s="86">
        <f t="shared" ref="D769:E769" si="734">D765</f>
        <v>0</v>
      </c>
      <c r="E769" s="86">
        <f t="shared" si="734"/>
        <v>0</v>
      </c>
      <c r="F769" s="86">
        <f t="shared" ref="F769:G769" si="735">F765</f>
        <v>0</v>
      </c>
      <c r="G769" s="86">
        <f t="shared" si="735"/>
        <v>0</v>
      </c>
      <c r="H769" s="86">
        <f t="shared" ref="H769:I769" si="736">H765</f>
        <v>0</v>
      </c>
      <c r="I769" s="86">
        <f t="shared" si="736"/>
        <v>0</v>
      </c>
      <c r="J769" s="86">
        <f t="shared" ref="J769:K769" si="737">J765</f>
        <v>0</v>
      </c>
      <c r="K769" s="86">
        <f t="shared" si="737"/>
        <v>0</v>
      </c>
      <c r="L769" s="86">
        <f t="shared" ref="L769:M769" si="738">L765</f>
        <v>0</v>
      </c>
      <c r="M769" s="86">
        <f t="shared" si="738"/>
        <v>0</v>
      </c>
      <c r="N769" s="133">
        <f>SUM(B769:M769)</f>
        <v>3</v>
      </c>
      <c r="O769" s="19">
        <f>IF(N769=0,0,AVERAGE(B769:M769))</f>
        <v>0.25</v>
      </c>
      <c r="P769" s="8"/>
      <c r="Q769" s="8"/>
      <c r="R769" s="8"/>
      <c r="S769" s="8"/>
      <c r="T769" s="8"/>
      <c r="U769" s="8"/>
      <c r="V769" s="8"/>
      <c r="W769" s="8"/>
      <c r="X769" s="8"/>
      <c r="Y769" s="8"/>
      <c r="Z769" s="8"/>
    </row>
    <row r="770" spans="1:26" s="9" customFormat="1" ht="15.75">
      <c r="A770" s="240" t="s">
        <v>155</v>
      </c>
      <c r="B770" s="333">
        <f t="shared" ref="B770:C770" si="739">SUM(B768:B769)</f>
        <v>11</v>
      </c>
      <c r="C770" s="333">
        <f t="shared" si="739"/>
        <v>14</v>
      </c>
      <c r="D770" s="333">
        <f t="shared" ref="D770:E770" si="740">SUM(D768:D769)</f>
        <v>10</v>
      </c>
      <c r="E770" s="333">
        <f t="shared" si="740"/>
        <v>4</v>
      </c>
      <c r="F770" s="333">
        <f t="shared" ref="F770:G770" si="741">SUM(F768:F769)</f>
        <v>11</v>
      </c>
      <c r="G770" s="333">
        <f t="shared" si="741"/>
        <v>11</v>
      </c>
      <c r="H770" s="333">
        <f t="shared" ref="H770:I770" si="742">SUM(H768:H769)</f>
        <v>7</v>
      </c>
      <c r="I770" s="333">
        <f t="shared" si="742"/>
        <v>16</v>
      </c>
      <c r="J770" s="333">
        <f t="shared" ref="J770:K770" si="743">SUM(J768:J769)</f>
        <v>10</v>
      </c>
      <c r="K770" s="333">
        <f t="shared" si="743"/>
        <v>14</v>
      </c>
      <c r="L770" s="333">
        <f t="shared" ref="L770:M770" si="744">SUM(L768:L769)</f>
        <v>19</v>
      </c>
      <c r="M770" s="333">
        <f t="shared" si="744"/>
        <v>18</v>
      </c>
      <c r="N770" s="334">
        <f>SUM(N768:N769)</f>
        <v>145</v>
      </c>
      <c r="O770" s="335">
        <f>SUM(O768:O769)</f>
        <v>12.083333333333334</v>
      </c>
      <c r="P770" s="8"/>
      <c r="Q770" s="8"/>
      <c r="R770" s="8"/>
      <c r="S770" s="8"/>
      <c r="T770" s="8"/>
      <c r="U770" s="8"/>
      <c r="V770" s="8"/>
      <c r="W770" s="8"/>
      <c r="X770" s="8"/>
      <c r="Y770" s="8"/>
      <c r="Z770" s="8"/>
    </row>
    <row r="771" spans="1:26" s="9" customFormat="1" ht="15.75">
      <c r="A771" s="82"/>
      <c r="B771" s="83"/>
      <c r="C771" s="83"/>
      <c r="D771" s="83"/>
      <c r="E771" s="83"/>
      <c r="F771" s="83"/>
      <c r="G771" s="83"/>
      <c r="H771" s="83"/>
      <c r="I771" s="83"/>
      <c r="J771" s="83"/>
      <c r="K771" s="83"/>
      <c r="L771" s="83"/>
      <c r="M771" s="83"/>
      <c r="N771" s="148"/>
      <c r="O771" s="84"/>
      <c r="P771" s="8"/>
      <c r="Q771" s="8"/>
      <c r="R771" s="8"/>
      <c r="S771" s="8"/>
      <c r="T771" s="8"/>
      <c r="U771" s="8"/>
      <c r="V771" s="8"/>
      <c r="W771" s="8"/>
      <c r="X771" s="8"/>
      <c r="Y771" s="8"/>
      <c r="Z771" s="8"/>
    </row>
    <row r="772" spans="1:26" s="9" customFormat="1" ht="15.75">
      <c r="A772" s="91" t="s">
        <v>739</v>
      </c>
      <c r="B772" s="92"/>
      <c r="C772" s="92"/>
      <c r="D772" s="92"/>
      <c r="E772" s="92"/>
      <c r="F772" s="92"/>
      <c r="G772" s="92"/>
      <c r="H772" s="92"/>
      <c r="I772" s="92"/>
      <c r="J772" s="92"/>
      <c r="K772" s="92"/>
      <c r="L772" s="92"/>
      <c r="M772" s="92"/>
      <c r="N772" s="150"/>
      <c r="O772" s="93"/>
      <c r="P772" s="10"/>
      <c r="Q772" s="10"/>
      <c r="R772" s="10"/>
      <c r="S772" s="10"/>
      <c r="T772" s="10"/>
      <c r="U772" s="10"/>
      <c r="V772" s="10"/>
      <c r="W772" s="10"/>
      <c r="X772" s="10"/>
      <c r="Y772" s="10"/>
      <c r="Z772" s="10"/>
    </row>
    <row r="773" spans="1:26" s="9" customFormat="1" ht="15.75">
      <c r="A773" s="60" t="s">
        <v>740</v>
      </c>
      <c r="B773" s="15"/>
      <c r="C773" s="15"/>
      <c r="D773" s="15"/>
      <c r="E773" s="15"/>
      <c r="F773" s="15"/>
      <c r="G773" s="15"/>
      <c r="H773" s="15"/>
      <c r="I773" s="15"/>
      <c r="J773" s="15"/>
      <c r="K773" s="15"/>
      <c r="L773" s="15"/>
      <c r="M773" s="15"/>
      <c r="N773" s="132"/>
      <c r="O773" s="16"/>
      <c r="P773" s="10"/>
      <c r="Q773" s="10"/>
      <c r="R773" s="10"/>
      <c r="S773" s="10"/>
      <c r="T773" s="10"/>
      <c r="U773" s="10"/>
      <c r="V773" s="10"/>
      <c r="W773" s="10"/>
      <c r="X773" s="10"/>
      <c r="Y773" s="10"/>
      <c r="Z773" s="10"/>
    </row>
    <row r="774" spans="1:26" s="9" customFormat="1" ht="15.75">
      <c r="A774" s="37" t="s">
        <v>18</v>
      </c>
      <c r="B774" s="18">
        <v>162</v>
      </c>
      <c r="C774" s="18">
        <v>173</v>
      </c>
      <c r="D774" s="18">
        <v>71</v>
      </c>
      <c r="E774" s="18">
        <v>18</v>
      </c>
      <c r="F774" s="18">
        <v>174</v>
      </c>
      <c r="G774" s="18">
        <v>158</v>
      </c>
      <c r="H774" s="81">
        <v>166</v>
      </c>
      <c r="I774" s="81">
        <v>155</v>
      </c>
      <c r="J774" s="81">
        <v>151</v>
      </c>
      <c r="K774" s="81">
        <v>158</v>
      </c>
      <c r="L774" s="18">
        <v>158</v>
      </c>
      <c r="M774" s="18">
        <v>145</v>
      </c>
      <c r="N774" s="133">
        <f>SUM(B774:M774)</f>
        <v>1689</v>
      </c>
      <c r="O774" s="19">
        <f>IF(N774=0,0,AVERAGE(B774:M774))</f>
        <v>140.75</v>
      </c>
      <c r="P774" s="10"/>
      <c r="Q774" s="10"/>
      <c r="R774" s="10"/>
      <c r="S774" s="10"/>
      <c r="T774" s="10"/>
      <c r="U774" s="10"/>
      <c r="V774" s="10"/>
      <c r="W774" s="10"/>
      <c r="X774" s="10"/>
      <c r="Y774" s="10"/>
      <c r="Z774" s="10"/>
    </row>
    <row r="775" spans="1:26" s="9" customFormat="1" ht="15.75">
      <c r="A775" s="37" t="s">
        <v>19</v>
      </c>
      <c r="B775" s="18">
        <v>19</v>
      </c>
      <c r="C775" s="18">
        <v>24</v>
      </c>
      <c r="D775" s="18">
        <v>27</v>
      </c>
      <c r="E775" s="18">
        <v>64</v>
      </c>
      <c r="F775" s="18">
        <v>30</v>
      </c>
      <c r="G775" s="18">
        <v>37</v>
      </c>
      <c r="H775" s="81">
        <v>41</v>
      </c>
      <c r="I775" s="81">
        <v>23</v>
      </c>
      <c r="J775" s="81">
        <v>30</v>
      </c>
      <c r="K775" s="81">
        <v>30</v>
      </c>
      <c r="L775" s="18">
        <v>37</v>
      </c>
      <c r="M775" s="18">
        <v>39</v>
      </c>
      <c r="N775" s="133">
        <f>SUM(B775:M775)</f>
        <v>401</v>
      </c>
      <c r="O775" s="19">
        <f>IF(N775=0,0,AVERAGE(B775:M775))</f>
        <v>33.416666666666664</v>
      </c>
      <c r="P775" s="10"/>
      <c r="Q775" s="10"/>
      <c r="R775" s="10"/>
      <c r="S775" s="10"/>
      <c r="T775" s="10"/>
      <c r="U775" s="10"/>
      <c r="V775" s="10"/>
      <c r="W775" s="10"/>
      <c r="X775" s="10"/>
      <c r="Y775" s="10"/>
      <c r="Z775" s="10"/>
    </row>
    <row r="776" spans="1:26" s="9" customFormat="1" ht="15.75">
      <c r="A776" s="37" t="s">
        <v>20</v>
      </c>
      <c r="B776" s="18">
        <v>7</v>
      </c>
      <c r="C776" s="18">
        <v>11</v>
      </c>
      <c r="D776" s="18">
        <v>7</v>
      </c>
      <c r="E776" s="18">
        <v>6</v>
      </c>
      <c r="F776" s="18">
        <v>6</v>
      </c>
      <c r="G776" s="18">
        <v>7</v>
      </c>
      <c r="H776" s="81">
        <v>9</v>
      </c>
      <c r="I776" s="81">
        <v>5</v>
      </c>
      <c r="J776" s="81">
        <v>6</v>
      </c>
      <c r="K776" s="81">
        <v>4</v>
      </c>
      <c r="L776" s="18">
        <v>10</v>
      </c>
      <c r="M776" s="18">
        <v>10</v>
      </c>
      <c r="N776" s="133">
        <f>SUM(B776:M776)</f>
        <v>88</v>
      </c>
      <c r="O776" s="19">
        <f>IF(N776=0,0,AVERAGE(B776:M776))</f>
        <v>7.333333333333333</v>
      </c>
      <c r="P776" s="8"/>
      <c r="Q776" s="8"/>
      <c r="R776" s="8"/>
      <c r="S776" s="8"/>
      <c r="T776" s="8"/>
      <c r="U776" s="8"/>
      <c r="V776" s="8"/>
      <c r="W776" s="8"/>
      <c r="X776" s="8"/>
      <c r="Y776" s="8"/>
      <c r="Z776" s="8"/>
    </row>
    <row r="777" spans="1:26" s="9" customFormat="1" ht="15.75">
      <c r="A777" s="56" t="s">
        <v>21</v>
      </c>
      <c r="B777" s="21">
        <f t="shared" ref="B777:C777" si="745">SUM(B774:B776)</f>
        <v>188</v>
      </c>
      <c r="C777" s="21">
        <f t="shared" si="745"/>
        <v>208</v>
      </c>
      <c r="D777" s="21">
        <f t="shared" ref="D777:E777" si="746">SUM(D774:D776)</f>
        <v>105</v>
      </c>
      <c r="E777" s="21">
        <f t="shared" si="746"/>
        <v>88</v>
      </c>
      <c r="F777" s="21">
        <f t="shared" ref="F777:G777" si="747">SUM(F774:F776)</f>
        <v>210</v>
      </c>
      <c r="G777" s="21">
        <f t="shared" si="747"/>
        <v>202</v>
      </c>
      <c r="H777" s="21">
        <f t="shared" ref="H777:I777" si="748">SUM(H774:H776)</f>
        <v>216</v>
      </c>
      <c r="I777" s="21">
        <f t="shared" si="748"/>
        <v>183</v>
      </c>
      <c r="J777" s="21">
        <f t="shared" ref="J777:K777" si="749">SUM(J774:J776)</f>
        <v>187</v>
      </c>
      <c r="K777" s="21">
        <f t="shared" si="749"/>
        <v>192</v>
      </c>
      <c r="L777" s="21">
        <f t="shared" ref="L777:M777" si="750">SUM(L774:L776)</f>
        <v>205</v>
      </c>
      <c r="M777" s="21">
        <f t="shared" si="750"/>
        <v>194</v>
      </c>
      <c r="N777" s="128">
        <f>SUM(N774:N776)</f>
        <v>2178</v>
      </c>
      <c r="O777" s="22">
        <f>SUM(O774:O776)</f>
        <v>181.5</v>
      </c>
      <c r="P777" s="8"/>
      <c r="Q777" s="8"/>
      <c r="R777" s="8"/>
      <c r="S777" s="8"/>
      <c r="T777" s="8"/>
      <c r="U777" s="8"/>
      <c r="V777" s="8"/>
      <c r="W777" s="8"/>
      <c r="X777" s="8"/>
      <c r="Y777" s="8"/>
      <c r="Z777" s="8"/>
    </row>
    <row r="778" spans="1:26" s="9" customFormat="1" ht="15.75">
      <c r="A778" s="56" t="s">
        <v>112</v>
      </c>
      <c r="B778" s="22">
        <f t="shared" ref="B778:G778" si="751">IF(B777=0,"",B777/B$1676)</f>
        <v>6.064516129032258</v>
      </c>
      <c r="C778" s="22">
        <f t="shared" si="751"/>
        <v>7.4285714285714288</v>
      </c>
      <c r="D778" s="22">
        <f t="shared" si="751"/>
        <v>3.3870967741935485</v>
      </c>
      <c r="E778" s="22">
        <f t="shared" si="751"/>
        <v>2.9333333333333331</v>
      </c>
      <c r="F778" s="22">
        <f t="shared" si="751"/>
        <v>6.774193548387097</v>
      </c>
      <c r="G778" s="22">
        <f t="shared" si="751"/>
        <v>6.7333333333333334</v>
      </c>
      <c r="H778" s="22">
        <f t="shared" ref="H778:I778" si="752">IF(H777=0,"",H777/H$1676)</f>
        <v>6.967741935483871</v>
      </c>
      <c r="I778" s="22">
        <f t="shared" si="752"/>
        <v>5.903225806451613</v>
      </c>
      <c r="J778" s="22">
        <f t="shared" ref="J778:K778" si="753">IF(J777=0,"",J777/J$1676)</f>
        <v>6.2333333333333334</v>
      </c>
      <c r="K778" s="22">
        <f t="shared" si="753"/>
        <v>6.193548387096774</v>
      </c>
      <c r="L778" s="22">
        <f t="shared" ref="L778:M778" si="754">IF(L777=0,"",L777/L$1676)</f>
        <v>6.833333333333333</v>
      </c>
      <c r="M778" s="22">
        <f t="shared" si="754"/>
        <v>6.258064516129032</v>
      </c>
      <c r="N778" s="128">
        <f>SUM(B778:M778)</f>
        <v>71.710291858678971</v>
      </c>
      <c r="O778" s="22">
        <f>IF(N778=0,0,AVERAGE(B778:M778))</f>
        <v>5.9758576548899143</v>
      </c>
      <c r="P778" s="8"/>
      <c r="Q778" s="8"/>
      <c r="R778" s="8"/>
      <c r="S778" s="8"/>
      <c r="T778" s="8"/>
      <c r="U778" s="8"/>
      <c r="V778" s="8"/>
      <c r="W778" s="8"/>
      <c r="X778" s="8"/>
      <c r="Y778" s="8"/>
      <c r="Z778" s="8"/>
    </row>
    <row r="779" spans="1:26" s="9" customFormat="1" ht="15.75">
      <c r="A779" s="94"/>
      <c r="B779" s="24"/>
      <c r="C779" s="24"/>
      <c r="D779" s="24"/>
      <c r="E779" s="25"/>
      <c r="F779" s="25"/>
      <c r="G779" s="25"/>
      <c r="H779" s="25"/>
      <c r="I779" s="25"/>
      <c r="J779" s="25"/>
      <c r="K779" s="25"/>
      <c r="L779" s="25"/>
      <c r="M779" s="25"/>
      <c r="N779" s="134"/>
      <c r="O779" s="95"/>
      <c r="P779" s="96"/>
      <c r="Q779" s="96"/>
      <c r="R779" s="96"/>
      <c r="S779" s="96"/>
      <c r="T779" s="96"/>
      <c r="U779" s="96"/>
      <c r="V779" s="96"/>
      <c r="W779" s="96"/>
      <c r="X779" s="96"/>
      <c r="Y779" s="96"/>
      <c r="Z779" s="96"/>
    </row>
    <row r="780" spans="1:26" s="9" customFormat="1" ht="15.75">
      <c r="A780" s="60" t="s">
        <v>741</v>
      </c>
      <c r="B780" s="15"/>
      <c r="C780" s="15"/>
      <c r="D780" s="15"/>
      <c r="E780" s="15"/>
      <c r="F780" s="15"/>
      <c r="G780" s="15"/>
      <c r="H780" s="15"/>
      <c r="I780" s="15"/>
      <c r="J780" s="15"/>
      <c r="K780" s="15"/>
      <c r="L780" s="15"/>
      <c r="M780" s="15"/>
      <c r="N780" s="132"/>
      <c r="O780" s="16"/>
      <c r="P780" s="96"/>
      <c r="Q780" s="96"/>
      <c r="R780" s="96"/>
      <c r="S780" s="96"/>
      <c r="T780" s="96"/>
      <c r="U780" s="96"/>
      <c r="V780" s="96"/>
      <c r="W780" s="96"/>
      <c r="X780" s="96"/>
      <c r="Y780" s="96"/>
      <c r="Z780" s="96"/>
    </row>
    <row r="781" spans="1:26" s="9" customFormat="1" ht="15.75">
      <c r="A781" s="97" t="s">
        <v>114</v>
      </c>
      <c r="B781" s="373">
        <v>109</v>
      </c>
      <c r="C781" s="373">
        <v>187</v>
      </c>
      <c r="D781" s="373">
        <v>63</v>
      </c>
      <c r="E781" s="99">
        <v>3</v>
      </c>
      <c r="F781" s="99">
        <v>2</v>
      </c>
      <c r="G781" s="99">
        <v>0</v>
      </c>
      <c r="H781" s="99">
        <v>178</v>
      </c>
      <c r="I781" s="99">
        <v>176</v>
      </c>
      <c r="J781" s="99">
        <v>212</v>
      </c>
      <c r="K781" s="99">
        <v>166</v>
      </c>
      <c r="L781" s="535">
        <v>143</v>
      </c>
      <c r="M781" s="99">
        <v>213</v>
      </c>
      <c r="N781" s="133">
        <f>SUM(B781:M781)</f>
        <v>1452</v>
      </c>
      <c r="O781" s="19">
        <f>IF(N781=0,0,AVERAGE(B781:M781))</f>
        <v>121</v>
      </c>
      <c r="P781" s="96"/>
      <c r="Q781" s="96"/>
      <c r="R781" s="96"/>
      <c r="S781" s="96"/>
      <c r="T781" s="96"/>
      <c r="U781" s="96"/>
      <c r="V781" s="96"/>
      <c r="W781" s="96"/>
      <c r="X781" s="96"/>
      <c r="Y781" s="96"/>
      <c r="Z781" s="96"/>
    </row>
    <row r="782" spans="1:26" s="9" customFormat="1" ht="15.75">
      <c r="A782" s="56" t="s">
        <v>21</v>
      </c>
      <c r="B782" s="21">
        <f t="shared" ref="B782:C782" si="755">SUM(B781)</f>
        <v>109</v>
      </c>
      <c r="C782" s="21">
        <f t="shared" si="755"/>
        <v>187</v>
      </c>
      <c r="D782" s="21">
        <f t="shared" ref="D782:E782" si="756">SUM(D781)</f>
        <v>63</v>
      </c>
      <c r="E782" s="21">
        <f t="shared" si="756"/>
        <v>3</v>
      </c>
      <c r="F782" s="21">
        <f t="shared" ref="F782:G782" si="757">SUM(F781)</f>
        <v>2</v>
      </c>
      <c r="G782" s="21">
        <f t="shared" si="757"/>
        <v>0</v>
      </c>
      <c r="H782" s="21">
        <f t="shared" ref="H782:I782" si="758">SUM(H781)</f>
        <v>178</v>
      </c>
      <c r="I782" s="21">
        <f t="shared" si="758"/>
        <v>176</v>
      </c>
      <c r="J782" s="21">
        <f t="shared" ref="J782:K782" si="759">SUM(J781)</f>
        <v>212</v>
      </c>
      <c r="K782" s="21">
        <f t="shared" si="759"/>
        <v>166</v>
      </c>
      <c r="L782" s="21">
        <f t="shared" ref="L782:M782" si="760">SUM(L781)</f>
        <v>143</v>
      </c>
      <c r="M782" s="21">
        <f t="shared" si="760"/>
        <v>213</v>
      </c>
      <c r="N782" s="128">
        <f>SUM(N781)</f>
        <v>1452</v>
      </c>
      <c r="O782" s="22">
        <f>SUM(O781)</f>
        <v>121</v>
      </c>
      <c r="P782" s="8"/>
      <c r="Q782" s="8"/>
      <c r="R782" s="8"/>
      <c r="S782" s="8"/>
      <c r="T782" s="8"/>
      <c r="U782" s="8"/>
      <c r="V782" s="8"/>
      <c r="W782" s="8"/>
      <c r="X782" s="8"/>
      <c r="Y782" s="8"/>
      <c r="Z782" s="8"/>
    </row>
    <row r="783" spans="1:26" s="9" customFormat="1" ht="15.75">
      <c r="A783" s="56" t="s">
        <v>112</v>
      </c>
      <c r="B783" s="22">
        <f t="shared" ref="B783:F783" si="761">IF(B782=0,"",B782/B$1676)</f>
        <v>3.5161290322580645</v>
      </c>
      <c r="C783" s="22">
        <f t="shared" si="761"/>
        <v>6.6785714285714288</v>
      </c>
      <c r="D783" s="22">
        <f t="shared" si="761"/>
        <v>2.032258064516129</v>
      </c>
      <c r="E783" s="22">
        <f t="shared" si="761"/>
        <v>0.1</v>
      </c>
      <c r="F783" s="22">
        <f t="shared" si="761"/>
        <v>6.4516129032258063E-2</v>
      </c>
      <c r="G783" s="22" t="s">
        <v>44</v>
      </c>
      <c r="H783" s="22">
        <f t="shared" ref="H783:I783" si="762">IF(H782=0,"",H782/H$1676)</f>
        <v>5.741935483870968</v>
      </c>
      <c r="I783" s="22">
        <f t="shared" si="762"/>
        <v>5.67741935483871</v>
      </c>
      <c r="J783" s="22">
        <f t="shared" ref="J783:K783" si="763">IF(J782=0,"",J782/J$1676)</f>
        <v>7.0666666666666664</v>
      </c>
      <c r="K783" s="22">
        <f t="shared" si="763"/>
        <v>5.354838709677419</v>
      </c>
      <c r="L783" s="22">
        <f t="shared" ref="L783:M783" si="764">IF(L782=0,"",L782/L$1676)</f>
        <v>4.7666666666666666</v>
      </c>
      <c r="M783" s="22">
        <f t="shared" si="764"/>
        <v>6.870967741935484</v>
      </c>
      <c r="N783" s="128">
        <f>SUM(B783:M783)</f>
        <v>47.869969278033793</v>
      </c>
      <c r="O783" s="22">
        <f>IF(N783=0,0,AVERAGE(B783:M783))</f>
        <v>4.3518153889121631</v>
      </c>
      <c r="P783" s="8"/>
      <c r="Q783" s="8"/>
      <c r="R783" s="8"/>
      <c r="S783" s="8"/>
      <c r="T783" s="8"/>
      <c r="U783" s="8"/>
      <c r="V783" s="8"/>
      <c r="W783" s="8"/>
      <c r="X783" s="8"/>
      <c r="Y783" s="8"/>
      <c r="Z783" s="8"/>
    </row>
    <row r="784" spans="1:26" s="9" customFormat="1" ht="15.75">
      <c r="A784" s="94"/>
      <c r="B784" s="24"/>
      <c r="C784" s="24"/>
      <c r="D784" s="24"/>
      <c r="E784" s="24"/>
      <c r="F784" s="24"/>
      <c r="G784" s="24"/>
      <c r="H784" s="25"/>
      <c r="I784" s="25"/>
      <c r="J784" s="25"/>
      <c r="K784" s="25"/>
      <c r="L784" s="25"/>
      <c r="M784" s="25"/>
      <c r="N784" s="134"/>
      <c r="O784" s="54"/>
      <c r="P784" s="96"/>
      <c r="Q784" s="96"/>
      <c r="R784" s="96"/>
      <c r="S784" s="96"/>
      <c r="T784" s="96"/>
      <c r="U784" s="96"/>
      <c r="V784" s="96"/>
      <c r="W784" s="96"/>
      <c r="X784" s="96"/>
      <c r="Y784" s="96"/>
      <c r="Z784" s="96"/>
    </row>
    <row r="785" spans="1:26" s="9" customFormat="1" ht="15.75">
      <c r="A785" s="85" t="s">
        <v>153</v>
      </c>
      <c r="B785" s="86">
        <f t="shared" ref="B785:C785" si="765">B777</f>
        <v>188</v>
      </c>
      <c r="C785" s="86">
        <f t="shared" si="765"/>
        <v>208</v>
      </c>
      <c r="D785" s="86">
        <f t="shared" ref="D785:E785" si="766">D777</f>
        <v>105</v>
      </c>
      <c r="E785" s="86">
        <f t="shared" si="766"/>
        <v>88</v>
      </c>
      <c r="F785" s="86">
        <f t="shared" ref="F785:G785" si="767">F777</f>
        <v>210</v>
      </c>
      <c r="G785" s="86">
        <f t="shared" si="767"/>
        <v>202</v>
      </c>
      <c r="H785" s="86">
        <f t="shared" ref="H785:I785" si="768">H777</f>
        <v>216</v>
      </c>
      <c r="I785" s="86">
        <f t="shared" si="768"/>
        <v>183</v>
      </c>
      <c r="J785" s="86">
        <f t="shared" ref="J785:K785" si="769">J777</f>
        <v>187</v>
      </c>
      <c r="K785" s="86">
        <f t="shared" si="769"/>
        <v>192</v>
      </c>
      <c r="L785" s="86">
        <f t="shared" ref="L785:M785" si="770">L777</f>
        <v>205</v>
      </c>
      <c r="M785" s="86">
        <f t="shared" si="770"/>
        <v>194</v>
      </c>
      <c r="N785" s="133">
        <f>SUM(B785:M785)</f>
        <v>2178</v>
      </c>
      <c r="O785" s="19">
        <f>IF(N785=0,0,AVERAGE(B785:M785))</f>
        <v>181.5</v>
      </c>
      <c r="P785" s="96"/>
      <c r="Q785" s="96"/>
      <c r="R785" s="96"/>
      <c r="S785" s="96"/>
      <c r="T785" s="96"/>
      <c r="U785" s="96"/>
      <c r="V785" s="96"/>
      <c r="W785" s="96"/>
      <c r="X785" s="96"/>
      <c r="Y785" s="96"/>
      <c r="Z785" s="96"/>
    </row>
    <row r="786" spans="1:26" s="9" customFormat="1" ht="15.75">
      <c r="A786" s="85" t="s">
        <v>154</v>
      </c>
      <c r="B786" s="86">
        <f t="shared" ref="B786:C786" si="771">B782</f>
        <v>109</v>
      </c>
      <c r="C786" s="86">
        <f t="shared" si="771"/>
        <v>187</v>
      </c>
      <c r="D786" s="86">
        <f t="shared" ref="D786:E786" si="772">D782</f>
        <v>63</v>
      </c>
      <c r="E786" s="86">
        <f t="shared" si="772"/>
        <v>3</v>
      </c>
      <c r="F786" s="86">
        <f t="shared" ref="F786:G786" si="773">F782</f>
        <v>2</v>
      </c>
      <c r="G786" s="86">
        <f t="shared" si="773"/>
        <v>0</v>
      </c>
      <c r="H786" s="86">
        <f t="shared" ref="H786:I786" si="774">H782</f>
        <v>178</v>
      </c>
      <c r="I786" s="86">
        <f t="shared" si="774"/>
        <v>176</v>
      </c>
      <c r="J786" s="86">
        <f t="shared" ref="J786:K786" si="775">J782</f>
        <v>212</v>
      </c>
      <c r="K786" s="86">
        <f t="shared" si="775"/>
        <v>166</v>
      </c>
      <c r="L786" s="86">
        <f t="shared" ref="L786:M786" si="776">L782</f>
        <v>143</v>
      </c>
      <c r="M786" s="86">
        <f t="shared" si="776"/>
        <v>213</v>
      </c>
      <c r="N786" s="133">
        <f>SUM(B786:M786)</f>
        <v>1452</v>
      </c>
      <c r="O786" s="19">
        <f>IF(N786=0,0,AVERAGE(B786:M786))</f>
        <v>121</v>
      </c>
      <c r="P786" s="96"/>
      <c r="Q786" s="96"/>
      <c r="R786" s="96"/>
      <c r="S786" s="96"/>
      <c r="T786" s="96"/>
      <c r="U786" s="96"/>
      <c r="V786" s="96"/>
      <c r="W786" s="96"/>
      <c r="X786" s="96"/>
      <c r="Y786" s="96"/>
      <c r="Z786" s="96"/>
    </row>
    <row r="787" spans="1:26" s="9" customFormat="1" ht="15.75">
      <c r="A787" s="342" t="s">
        <v>155</v>
      </c>
      <c r="B787" s="333">
        <f t="shared" ref="B787:C787" si="777">SUM(B785:B786)</f>
        <v>297</v>
      </c>
      <c r="C787" s="333">
        <f t="shared" si="777"/>
        <v>395</v>
      </c>
      <c r="D787" s="333">
        <f t="shared" ref="D787:E787" si="778">SUM(D785:D786)</f>
        <v>168</v>
      </c>
      <c r="E787" s="333">
        <f t="shared" si="778"/>
        <v>91</v>
      </c>
      <c r="F787" s="333">
        <f t="shared" ref="F787:G787" si="779">SUM(F785:F786)</f>
        <v>212</v>
      </c>
      <c r="G787" s="333">
        <f t="shared" si="779"/>
        <v>202</v>
      </c>
      <c r="H787" s="333">
        <f t="shared" ref="H787:I787" si="780">SUM(H785:H786)</f>
        <v>394</v>
      </c>
      <c r="I787" s="333">
        <f t="shared" si="780"/>
        <v>359</v>
      </c>
      <c r="J787" s="333">
        <f t="shared" ref="J787:K787" si="781">SUM(J785:J786)</f>
        <v>399</v>
      </c>
      <c r="K787" s="333">
        <f t="shared" si="781"/>
        <v>358</v>
      </c>
      <c r="L787" s="333">
        <f t="shared" ref="L787:M787" si="782">SUM(L785:L786)</f>
        <v>348</v>
      </c>
      <c r="M787" s="333">
        <f t="shared" si="782"/>
        <v>407</v>
      </c>
      <c r="N787" s="334">
        <f>SUM(N785:N786)</f>
        <v>3630</v>
      </c>
      <c r="O787" s="335">
        <f>SUM(O785:O786)</f>
        <v>302.5</v>
      </c>
      <c r="P787" s="96"/>
      <c r="Q787" s="96"/>
      <c r="R787" s="96"/>
      <c r="S787" s="96"/>
      <c r="T787" s="96"/>
      <c r="U787" s="96"/>
      <c r="V787" s="96"/>
      <c r="W787" s="96"/>
      <c r="X787" s="96"/>
      <c r="Y787" s="96"/>
      <c r="Z787" s="96"/>
    </row>
    <row r="788" spans="1:26" s="9" customFormat="1" ht="15.75">
      <c r="A788" s="82"/>
      <c r="B788" s="83"/>
      <c r="C788" s="83"/>
      <c r="D788" s="83"/>
      <c r="E788" s="83"/>
      <c r="F788" s="83"/>
      <c r="G788" s="83"/>
      <c r="H788" s="83"/>
      <c r="I788" s="83"/>
      <c r="J788" s="83"/>
      <c r="K788" s="83"/>
      <c r="L788" s="83"/>
      <c r="M788" s="83"/>
      <c r="N788" s="148"/>
      <c r="O788" s="84"/>
      <c r="P788" s="8"/>
      <c r="Q788" s="8"/>
      <c r="R788" s="8"/>
      <c r="S788" s="8"/>
      <c r="T788" s="8"/>
      <c r="U788" s="8"/>
      <c r="V788" s="8"/>
      <c r="W788" s="8"/>
      <c r="X788" s="8"/>
      <c r="Y788" s="8"/>
      <c r="Z788" s="8"/>
    </row>
    <row r="789" spans="1:26" s="9" customFormat="1" ht="15.75">
      <c r="A789" s="91" t="s">
        <v>742</v>
      </c>
      <c r="B789" s="92"/>
      <c r="C789" s="92"/>
      <c r="D789" s="92"/>
      <c r="E789" s="92"/>
      <c r="F789" s="92"/>
      <c r="G789" s="92"/>
      <c r="H789" s="92"/>
      <c r="I789" s="92"/>
      <c r="J789" s="92"/>
      <c r="K789" s="92"/>
      <c r="L789" s="92"/>
      <c r="M789" s="92"/>
      <c r="N789" s="150"/>
      <c r="O789" s="93"/>
      <c r="P789" s="8"/>
      <c r="Q789" s="8"/>
      <c r="R789" s="8"/>
      <c r="S789" s="8"/>
      <c r="T789" s="8"/>
      <c r="U789" s="8"/>
      <c r="V789" s="8"/>
      <c r="W789" s="8"/>
      <c r="X789" s="8"/>
      <c r="Y789" s="8"/>
      <c r="Z789" s="8"/>
    </row>
    <row r="790" spans="1:26" s="9" customFormat="1" ht="15.75">
      <c r="A790" s="60" t="s">
        <v>665</v>
      </c>
      <c r="B790" s="15"/>
      <c r="C790" s="15"/>
      <c r="D790" s="15"/>
      <c r="E790" s="15"/>
      <c r="F790" s="15"/>
      <c r="G790" s="15"/>
      <c r="H790" s="15"/>
      <c r="I790" s="15"/>
      <c r="J790" s="15"/>
      <c r="K790" s="15"/>
      <c r="L790" s="15"/>
      <c r="M790" s="15"/>
      <c r="N790" s="132"/>
      <c r="O790" s="16"/>
      <c r="P790" s="8"/>
      <c r="Q790" s="8"/>
      <c r="R790" s="8"/>
      <c r="S790" s="8"/>
      <c r="T790" s="8"/>
      <c r="U790" s="8"/>
      <c r="V790" s="8"/>
      <c r="W790" s="8"/>
      <c r="X790" s="8"/>
      <c r="Y790" s="8"/>
      <c r="Z790" s="8"/>
    </row>
    <row r="791" spans="1:26" s="9" customFormat="1" ht="15.75">
      <c r="A791" s="37" t="s">
        <v>18</v>
      </c>
      <c r="B791" s="18">
        <v>4</v>
      </c>
      <c r="C791" s="18">
        <v>5</v>
      </c>
      <c r="D791" s="18">
        <v>1</v>
      </c>
      <c r="E791" s="18">
        <v>0</v>
      </c>
      <c r="F791" s="18">
        <v>1</v>
      </c>
      <c r="G791" s="18">
        <v>0</v>
      </c>
      <c r="H791" s="18">
        <v>5</v>
      </c>
      <c r="I791" s="18">
        <v>0</v>
      </c>
      <c r="J791" s="18">
        <v>0</v>
      </c>
      <c r="K791" s="18">
        <v>1</v>
      </c>
      <c r="L791" s="18">
        <v>3</v>
      </c>
      <c r="M791" s="18">
        <v>3</v>
      </c>
      <c r="N791" s="133">
        <f>SUM(B791:M791)</f>
        <v>23</v>
      </c>
      <c r="O791" s="19">
        <f>IF(N791=0,0,AVERAGE(B791:M791))</f>
        <v>1.9166666666666667</v>
      </c>
      <c r="P791" s="10"/>
      <c r="Q791" s="10"/>
      <c r="R791" s="10"/>
      <c r="S791" s="10"/>
      <c r="T791" s="10"/>
      <c r="U791" s="10"/>
      <c r="V791" s="10"/>
      <c r="W791" s="10"/>
      <c r="X791" s="10"/>
      <c r="Y791" s="10"/>
      <c r="Z791" s="10"/>
    </row>
    <row r="792" spans="1:26" s="9" customFormat="1" ht="15.75">
      <c r="A792" s="37" t="s">
        <v>19</v>
      </c>
      <c r="B792" s="18">
        <v>5</v>
      </c>
      <c r="C792" s="18">
        <v>4</v>
      </c>
      <c r="D792" s="18">
        <v>5</v>
      </c>
      <c r="E792" s="18">
        <v>4</v>
      </c>
      <c r="F792" s="18">
        <v>7</v>
      </c>
      <c r="G792" s="18">
        <v>11</v>
      </c>
      <c r="H792" s="18">
        <v>12</v>
      </c>
      <c r="I792" s="18">
        <v>7</v>
      </c>
      <c r="J792" s="18">
        <v>10</v>
      </c>
      <c r="K792" s="18">
        <v>9</v>
      </c>
      <c r="L792" s="18">
        <v>10</v>
      </c>
      <c r="M792" s="18">
        <v>6</v>
      </c>
      <c r="N792" s="133">
        <f>SUM(B792:M792)</f>
        <v>90</v>
      </c>
      <c r="O792" s="19">
        <f>IF(N792=0,0,AVERAGE(B792:M792))</f>
        <v>7.5</v>
      </c>
      <c r="P792" s="8"/>
      <c r="Q792" s="8"/>
      <c r="R792" s="8"/>
      <c r="S792" s="8"/>
      <c r="T792" s="8"/>
      <c r="U792" s="8"/>
      <c r="V792" s="8"/>
      <c r="W792" s="8"/>
      <c r="X792" s="8"/>
      <c r="Y792" s="8"/>
      <c r="Z792" s="8"/>
    </row>
    <row r="793" spans="1:26" s="9" customFormat="1" ht="15.75">
      <c r="A793" s="37" t="s">
        <v>20</v>
      </c>
      <c r="B793" s="18">
        <v>4</v>
      </c>
      <c r="C793" s="18">
        <v>2</v>
      </c>
      <c r="D793" s="18">
        <v>5</v>
      </c>
      <c r="E793" s="18">
        <v>1</v>
      </c>
      <c r="F793" s="18">
        <v>3</v>
      </c>
      <c r="G793" s="18">
        <v>4</v>
      </c>
      <c r="H793" s="18">
        <v>2</v>
      </c>
      <c r="I793" s="18">
        <v>1</v>
      </c>
      <c r="J793" s="18">
        <v>1</v>
      </c>
      <c r="K793" s="18">
        <v>0</v>
      </c>
      <c r="L793" s="18">
        <v>9</v>
      </c>
      <c r="M793" s="18">
        <v>0</v>
      </c>
      <c r="N793" s="133">
        <f>SUM(B793:M793)</f>
        <v>32</v>
      </c>
      <c r="O793" s="19">
        <f>IF(N793=0,0,AVERAGE(B793:M793))</f>
        <v>2.6666666666666665</v>
      </c>
      <c r="P793" s="8"/>
      <c r="Q793" s="8"/>
      <c r="R793" s="8"/>
      <c r="S793" s="8"/>
      <c r="T793" s="8"/>
      <c r="U793" s="8"/>
      <c r="V793" s="8"/>
      <c r="W793" s="8"/>
      <c r="X793" s="8"/>
      <c r="Y793" s="8"/>
      <c r="Z793" s="8"/>
    </row>
    <row r="794" spans="1:26" s="9" customFormat="1" ht="15.75">
      <c r="A794" s="56" t="s">
        <v>21</v>
      </c>
      <c r="B794" s="21">
        <f t="shared" ref="B794:C794" si="783">SUM(B791:B793)</f>
        <v>13</v>
      </c>
      <c r="C794" s="21">
        <f t="shared" si="783"/>
        <v>11</v>
      </c>
      <c r="D794" s="21">
        <f t="shared" ref="D794:E794" si="784">SUM(D791:D793)</f>
        <v>11</v>
      </c>
      <c r="E794" s="21">
        <f t="shared" si="784"/>
        <v>5</v>
      </c>
      <c r="F794" s="21">
        <f t="shared" ref="F794:G794" si="785">SUM(F791:F793)</f>
        <v>11</v>
      </c>
      <c r="G794" s="21">
        <f t="shared" si="785"/>
        <v>15</v>
      </c>
      <c r="H794" s="21">
        <f t="shared" ref="H794:I794" si="786">SUM(H791:H793)</f>
        <v>19</v>
      </c>
      <c r="I794" s="21">
        <f t="shared" si="786"/>
        <v>8</v>
      </c>
      <c r="J794" s="21">
        <f t="shared" ref="J794:K794" si="787">SUM(J791:J793)</f>
        <v>11</v>
      </c>
      <c r="K794" s="21">
        <f t="shared" si="787"/>
        <v>10</v>
      </c>
      <c r="L794" s="21">
        <f t="shared" ref="L794:M794" si="788">SUM(L791:L793)</f>
        <v>22</v>
      </c>
      <c r="M794" s="21">
        <f t="shared" si="788"/>
        <v>9</v>
      </c>
      <c r="N794" s="128">
        <f>SUM(N791:N793)</f>
        <v>145</v>
      </c>
      <c r="O794" s="22">
        <f>SUM(O791:O793)</f>
        <v>12.083333333333332</v>
      </c>
      <c r="P794" s="8"/>
      <c r="Q794" s="8"/>
      <c r="R794" s="8"/>
      <c r="S794" s="8"/>
      <c r="T794" s="8"/>
      <c r="U794" s="8"/>
      <c r="V794" s="8"/>
      <c r="W794" s="8"/>
      <c r="X794" s="8"/>
      <c r="Y794" s="8"/>
      <c r="Z794" s="8"/>
    </row>
    <row r="795" spans="1:26" s="9" customFormat="1" ht="15.75">
      <c r="A795" s="56" t="s">
        <v>112</v>
      </c>
      <c r="B795" s="22">
        <f t="shared" ref="B795:G795" si="789">IF(B794=0,"",B794/B$1676)</f>
        <v>0.41935483870967744</v>
      </c>
      <c r="C795" s="22">
        <f t="shared" si="789"/>
        <v>0.39285714285714285</v>
      </c>
      <c r="D795" s="22">
        <f t="shared" si="789"/>
        <v>0.35483870967741937</v>
      </c>
      <c r="E795" s="22">
        <f t="shared" si="789"/>
        <v>0.16666666666666666</v>
      </c>
      <c r="F795" s="22">
        <f t="shared" si="789"/>
        <v>0.35483870967741937</v>
      </c>
      <c r="G795" s="22">
        <f t="shared" si="789"/>
        <v>0.5</v>
      </c>
      <c r="H795" s="22">
        <f t="shared" ref="H795:I795" si="790">IF(H794=0,"",H794/H$1676)</f>
        <v>0.61290322580645162</v>
      </c>
      <c r="I795" s="22">
        <f t="shared" si="790"/>
        <v>0.25806451612903225</v>
      </c>
      <c r="J795" s="22">
        <f t="shared" ref="J795:K795" si="791">IF(J794=0,"",J794/J$1676)</f>
        <v>0.36666666666666664</v>
      </c>
      <c r="K795" s="22">
        <f t="shared" si="791"/>
        <v>0.32258064516129031</v>
      </c>
      <c r="L795" s="22">
        <f t="shared" ref="L795:M795" si="792">IF(L794=0,"",L794/L$1676)</f>
        <v>0.73333333333333328</v>
      </c>
      <c r="M795" s="22">
        <f t="shared" si="792"/>
        <v>0.29032258064516131</v>
      </c>
      <c r="N795" s="128">
        <f>SUM(B795:M795)</f>
        <v>4.7724270353302609</v>
      </c>
      <c r="O795" s="22">
        <f>IF(N795=0,0,AVERAGE(B795:M795))</f>
        <v>0.39770225294418843</v>
      </c>
      <c r="P795" s="8"/>
      <c r="Q795" s="8"/>
      <c r="R795" s="8"/>
      <c r="S795" s="8"/>
      <c r="T795" s="8"/>
      <c r="U795" s="8"/>
      <c r="V795" s="8"/>
      <c r="W795" s="8"/>
      <c r="X795" s="8"/>
      <c r="Y795" s="8"/>
      <c r="Z795" s="8"/>
    </row>
    <row r="796" spans="1:26" s="9" customFormat="1" ht="15.75">
      <c r="A796" s="82"/>
      <c r="B796" s="83"/>
      <c r="C796" s="83"/>
      <c r="D796" s="83"/>
      <c r="E796" s="83"/>
      <c r="F796" s="83"/>
      <c r="G796" s="83"/>
      <c r="H796" s="83"/>
      <c r="I796" s="83"/>
      <c r="J796" s="83"/>
      <c r="K796" s="83"/>
      <c r="L796" s="83"/>
      <c r="M796" s="83"/>
      <c r="N796" s="148"/>
      <c r="O796" s="84"/>
      <c r="P796" s="8"/>
      <c r="Q796" s="8"/>
      <c r="R796" s="8"/>
      <c r="S796" s="8"/>
      <c r="T796" s="8"/>
      <c r="U796" s="8"/>
      <c r="V796" s="8"/>
      <c r="W796" s="8"/>
      <c r="X796" s="8"/>
      <c r="Y796" s="8"/>
      <c r="Z796" s="8"/>
    </row>
    <row r="797" spans="1:26" s="9" customFormat="1" ht="15.75">
      <c r="A797" s="60" t="s">
        <v>666</v>
      </c>
      <c r="B797" s="15"/>
      <c r="C797" s="15"/>
      <c r="D797" s="15"/>
      <c r="E797" s="15"/>
      <c r="F797" s="15"/>
      <c r="G797" s="15"/>
      <c r="H797" s="15"/>
      <c r="I797" s="15"/>
      <c r="J797" s="15"/>
      <c r="K797" s="15"/>
      <c r="L797" s="15"/>
      <c r="M797" s="15"/>
      <c r="N797" s="132"/>
      <c r="O797" s="16"/>
      <c r="P797" s="8"/>
      <c r="Q797" s="8"/>
      <c r="R797" s="8"/>
      <c r="S797" s="8"/>
      <c r="T797" s="8"/>
      <c r="U797" s="8"/>
      <c r="V797" s="8"/>
      <c r="W797" s="8"/>
      <c r="X797" s="8"/>
      <c r="Y797" s="8"/>
      <c r="Z797" s="8"/>
    </row>
    <row r="798" spans="1:26" s="9" customFormat="1" ht="15.75">
      <c r="A798" s="34" t="s">
        <v>114</v>
      </c>
      <c r="B798" s="18">
        <v>369</v>
      </c>
      <c r="C798" s="18">
        <v>374</v>
      </c>
      <c r="D798" s="18">
        <v>230</v>
      </c>
      <c r="E798" s="18">
        <v>0</v>
      </c>
      <c r="F798" s="18">
        <v>97</v>
      </c>
      <c r="G798" s="18">
        <v>207</v>
      </c>
      <c r="H798" s="18">
        <v>359</v>
      </c>
      <c r="I798" s="18">
        <v>356</v>
      </c>
      <c r="J798" s="18">
        <v>289</v>
      </c>
      <c r="K798" s="18">
        <v>247</v>
      </c>
      <c r="L798" s="18">
        <v>235</v>
      </c>
      <c r="M798" s="18">
        <v>234</v>
      </c>
      <c r="N798" s="133">
        <f>SUM(B798:M798)</f>
        <v>2997</v>
      </c>
      <c r="O798" s="19">
        <f>IF(N798=0,0,AVERAGE(B798:M798))</f>
        <v>249.75</v>
      </c>
      <c r="P798" s="8"/>
      <c r="Q798" s="8"/>
      <c r="R798" s="8"/>
      <c r="S798" s="8"/>
      <c r="T798" s="8"/>
      <c r="U798" s="8"/>
      <c r="V798" s="8"/>
      <c r="W798" s="8"/>
      <c r="X798" s="8"/>
      <c r="Y798" s="8"/>
      <c r="Z798" s="8"/>
    </row>
    <row r="799" spans="1:26" s="9" customFormat="1" ht="15.75">
      <c r="A799" s="56" t="s">
        <v>21</v>
      </c>
      <c r="B799" s="21">
        <f t="shared" ref="B799:C799" si="793">SUM(B798)</f>
        <v>369</v>
      </c>
      <c r="C799" s="21">
        <f t="shared" si="793"/>
        <v>374</v>
      </c>
      <c r="D799" s="21">
        <f t="shared" ref="D799:F799" si="794">SUM(D798)</f>
        <v>230</v>
      </c>
      <c r="E799" s="21">
        <f t="shared" si="794"/>
        <v>0</v>
      </c>
      <c r="F799" s="21">
        <f t="shared" si="794"/>
        <v>97</v>
      </c>
      <c r="G799" s="21">
        <f t="shared" ref="G799:H799" si="795">SUM(G798)</f>
        <v>207</v>
      </c>
      <c r="H799" s="21">
        <f t="shared" si="795"/>
        <v>359</v>
      </c>
      <c r="I799" s="21">
        <f t="shared" ref="I799:J799" si="796">SUM(I798)</f>
        <v>356</v>
      </c>
      <c r="J799" s="21">
        <f t="shared" si="796"/>
        <v>289</v>
      </c>
      <c r="K799" s="21">
        <f t="shared" ref="K799:L799" si="797">SUM(K798)</f>
        <v>247</v>
      </c>
      <c r="L799" s="21">
        <f t="shared" si="797"/>
        <v>235</v>
      </c>
      <c r="M799" s="21">
        <f t="shared" ref="M799" si="798">SUM(M798)</f>
        <v>234</v>
      </c>
      <c r="N799" s="128">
        <f>SUM(N798)</f>
        <v>2997</v>
      </c>
      <c r="O799" s="22">
        <f>SUM(O798)</f>
        <v>249.75</v>
      </c>
      <c r="P799" s="8"/>
      <c r="Q799" s="8"/>
      <c r="R799" s="8"/>
      <c r="S799" s="8"/>
      <c r="T799" s="8"/>
      <c r="U799" s="8"/>
      <c r="V799" s="8"/>
      <c r="W799" s="8"/>
      <c r="X799" s="8"/>
      <c r="Y799" s="8"/>
      <c r="Z799" s="8"/>
    </row>
    <row r="800" spans="1:26" s="9" customFormat="1" ht="15.75">
      <c r="A800" s="56" t="s">
        <v>112</v>
      </c>
      <c r="B800" s="22">
        <f>IF(B799=0,"",B799/B$1676)</f>
        <v>11.903225806451612</v>
      </c>
      <c r="C800" s="22">
        <f>IF(C799=0,"",C799/C$1676)</f>
        <v>13.357142857142858</v>
      </c>
      <c r="D800" s="22">
        <f>IF(D799=0,"",D799/D$1676)</f>
        <v>7.419354838709677</v>
      </c>
      <c r="E800" s="22" t="s">
        <v>44</v>
      </c>
      <c r="F800" s="22">
        <f t="shared" ref="F800:K800" si="799">IF(F799=0,"",F799/F$1676)</f>
        <v>3.129032258064516</v>
      </c>
      <c r="G800" s="22">
        <f t="shared" si="799"/>
        <v>6.9</v>
      </c>
      <c r="H800" s="22">
        <f t="shared" si="799"/>
        <v>11.580645161290322</v>
      </c>
      <c r="I800" s="22">
        <f t="shared" si="799"/>
        <v>11.483870967741936</v>
      </c>
      <c r="J800" s="22">
        <f t="shared" si="799"/>
        <v>9.6333333333333329</v>
      </c>
      <c r="K800" s="22">
        <f t="shared" si="799"/>
        <v>7.967741935483871</v>
      </c>
      <c r="L800" s="22">
        <f t="shared" ref="L800:M800" si="800">IF(L799=0,"",L799/L$1676)</f>
        <v>7.833333333333333</v>
      </c>
      <c r="M800" s="22">
        <f t="shared" si="800"/>
        <v>7.5483870967741939</v>
      </c>
      <c r="N800" s="128">
        <f>SUM(B800:M800)</f>
        <v>98.756067588325635</v>
      </c>
      <c r="O800" s="22">
        <f>IF(N800=0,0,AVERAGE(B800:M800))</f>
        <v>8.9778243262114206</v>
      </c>
      <c r="P800" s="8"/>
      <c r="Q800" s="8"/>
      <c r="R800" s="8"/>
      <c r="S800" s="8"/>
      <c r="T800" s="8"/>
      <c r="U800" s="8"/>
      <c r="V800" s="8"/>
      <c r="W800" s="8"/>
      <c r="X800" s="8"/>
      <c r="Y800" s="8"/>
      <c r="Z800" s="8"/>
    </row>
    <row r="801" spans="1:26" s="9" customFormat="1" ht="15.75">
      <c r="A801" s="82"/>
      <c r="B801" s="83"/>
      <c r="C801" s="83"/>
      <c r="D801" s="83"/>
      <c r="E801" s="83"/>
      <c r="F801" s="83"/>
      <c r="G801" s="83"/>
      <c r="H801" s="83"/>
      <c r="I801" s="83"/>
      <c r="J801" s="83"/>
      <c r="K801" s="83"/>
      <c r="L801" s="83"/>
      <c r="M801" s="83"/>
      <c r="N801" s="148"/>
      <c r="O801" s="84"/>
      <c r="P801" s="8"/>
      <c r="Q801" s="8"/>
      <c r="R801" s="8"/>
      <c r="S801" s="8"/>
      <c r="T801" s="8"/>
      <c r="U801" s="8"/>
      <c r="V801" s="8"/>
      <c r="W801" s="8"/>
      <c r="X801" s="8"/>
      <c r="Y801" s="8"/>
      <c r="Z801" s="8"/>
    </row>
    <row r="802" spans="1:26" s="9" customFormat="1" ht="15.75">
      <c r="A802" s="90" t="s">
        <v>153</v>
      </c>
      <c r="B802" s="86">
        <f t="shared" ref="B802:C802" si="801">B794</f>
        <v>13</v>
      </c>
      <c r="C802" s="86">
        <f t="shared" si="801"/>
        <v>11</v>
      </c>
      <c r="D802" s="86">
        <f t="shared" ref="D802:E802" si="802">D794</f>
        <v>11</v>
      </c>
      <c r="E802" s="86">
        <f t="shared" si="802"/>
        <v>5</v>
      </c>
      <c r="F802" s="86">
        <f t="shared" ref="F802:G802" si="803">F794</f>
        <v>11</v>
      </c>
      <c r="G802" s="86">
        <f t="shared" si="803"/>
        <v>15</v>
      </c>
      <c r="H802" s="86">
        <f t="shared" ref="H802:I802" si="804">H794</f>
        <v>19</v>
      </c>
      <c r="I802" s="86">
        <f t="shared" si="804"/>
        <v>8</v>
      </c>
      <c r="J802" s="86">
        <f t="shared" ref="J802:K802" si="805">J794</f>
        <v>11</v>
      </c>
      <c r="K802" s="86">
        <f t="shared" si="805"/>
        <v>10</v>
      </c>
      <c r="L802" s="86">
        <f t="shared" ref="L802:M802" si="806">L794</f>
        <v>22</v>
      </c>
      <c r="M802" s="86">
        <f t="shared" si="806"/>
        <v>9</v>
      </c>
      <c r="N802" s="133">
        <f>SUM(B802:M802)</f>
        <v>145</v>
      </c>
      <c r="O802" s="19">
        <f>IF(N802=0,0,AVERAGE(B802:M802))</f>
        <v>12.083333333333334</v>
      </c>
      <c r="P802" s="8"/>
      <c r="Q802" s="8"/>
      <c r="R802" s="8"/>
      <c r="S802" s="8"/>
      <c r="T802" s="8"/>
      <c r="U802" s="8"/>
      <c r="V802" s="8"/>
      <c r="W802" s="8"/>
      <c r="X802" s="8"/>
      <c r="Y802" s="8"/>
      <c r="Z802" s="8"/>
    </row>
    <row r="803" spans="1:26" s="9" customFormat="1" ht="15.75">
      <c r="A803" s="90" t="s">
        <v>154</v>
      </c>
      <c r="B803" s="86">
        <f t="shared" ref="B803:C803" si="807">B799</f>
        <v>369</v>
      </c>
      <c r="C803" s="86">
        <f t="shared" si="807"/>
        <v>374</v>
      </c>
      <c r="D803" s="86">
        <f t="shared" ref="D803:E803" si="808">D799</f>
        <v>230</v>
      </c>
      <c r="E803" s="86">
        <f t="shared" si="808"/>
        <v>0</v>
      </c>
      <c r="F803" s="86">
        <f t="shared" ref="F803:G803" si="809">F799</f>
        <v>97</v>
      </c>
      <c r="G803" s="86">
        <f t="shared" si="809"/>
        <v>207</v>
      </c>
      <c r="H803" s="86">
        <f t="shared" ref="H803:I803" si="810">H799</f>
        <v>359</v>
      </c>
      <c r="I803" s="86">
        <f t="shared" si="810"/>
        <v>356</v>
      </c>
      <c r="J803" s="86">
        <f t="shared" ref="J803:K803" si="811">J799</f>
        <v>289</v>
      </c>
      <c r="K803" s="86">
        <f t="shared" si="811"/>
        <v>247</v>
      </c>
      <c r="L803" s="86">
        <f t="shared" ref="L803:M803" si="812">L799</f>
        <v>235</v>
      </c>
      <c r="M803" s="86">
        <f t="shared" si="812"/>
        <v>234</v>
      </c>
      <c r="N803" s="133">
        <f>SUM(B803:M803)</f>
        <v>2997</v>
      </c>
      <c r="O803" s="19">
        <f>IF(N803=0,0,AVERAGE(B803:M803))</f>
        <v>249.75</v>
      </c>
      <c r="P803" s="8"/>
      <c r="Q803" s="8"/>
      <c r="R803" s="8"/>
      <c r="S803" s="8"/>
      <c r="T803" s="8"/>
      <c r="U803" s="8"/>
      <c r="V803" s="8"/>
      <c r="W803" s="8"/>
      <c r="X803" s="8"/>
      <c r="Y803" s="8"/>
      <c r="Z803" s="8"/>
    </row>
    <row r="804" spans="1:26" s="9" customFormat="1" ht="15.75">
      <c r="A804" s="342" t="s">
        <v>155</v>
      </c>
      <c r="B804" s="333">
        <f t="shared" ref="B804:C804" si="813">SUM(B802:B803)</f>
        <v>382</v>
      </c>
      <c r="C804" s="333">
        <f t="shared" si="813"/>
        <v>385</v>
      </c>
      <c r="D804" s="333">
        <f t="shared" ref="D804:E804" si="814">SUM(D802:D803)</f>
        <v>241</v>
      </c>
      <c r="E804" s="333">
        <f t="shared" si="814"/>
        <v>5</v>
      </c>
      <c r="F804" s="333">
        <f t="shared" ref="F804:G804" si="815">SUM(F802:F803)</f>
        <v>108</v>
      </c>
      <c r="G804" s="333">
        <f t="shared" si="815"/>
        <v>222</v>
      </c>
      <c r="H804" s="333">
        <f t="shared" ref="H804:I804" si="816">SUM(H802:H803)</f>
        <v>378</v>
      </c>
      <c r="I804" s="333">
        <f t="shared" si="816"/>
        <v>364</v>
      </c>
      <c r="J804" s="333">
        <f t="shared" ref="J804:K804" si="817">SUM(J802:J803)</f>
        <v>300</v>
      </c>
      <c r="K804" s="333">
        <f t="shared" si="817"/>
        <v>257</v>
      </c>
      <c r="L804" s="333">
        <f t="shared" ref="L804:M804" si="818">SUM(L802:L803)</f>
        <v>257</v>
      </c>
      <c r="M804" s="333">
        <f t="shared" si="818"/>
        <v>243</v>
      </c>
      <c r="N804" s="334">
        <f>SUM(N802:N803)</f>
        <v>3142</v>
      </c>
      <c r="O804" s="335">
        <f>SUM(O802:O803)</f>
        <v>261.83333333333331</v>
      </c>
      <c r="P804" s="8"/>
      <c r="Q804" s="8"/>
      <c r="R804" s="8"/>
      <c r="S804" s="8"/>
      <c r="T804" s="8"/>
      <c r="U804" s="8"/>
      <c r="V804" s="8"/>
      <c r="W804" s="8"/>
      <c r="X804" s="8"/>
      <c r="Y804" s="8"/>
      <c r="Z804" s="8"/>
    </row>
    <row r="805" spans="1:26" s="9" customFormat="1" ht="15.75">
      <c r="A805" s="82"/>
      <c r="B805" s="321"/>
      <c r="C805" s="321"/>
      <c r="D805" s="321"/>
      <c r="E805" s="321"/>
      <c r="F805" s="321"/>
      <c r="G805" s="321"/>
      <c r="H805" s="321"/>
      <c r="I805" s="321"/>
      <c r="J805" s="321"/>
      <c r="K805" s="321"/>
      <c r="L805" s="321"/>
      <c r="M805" s="321"/>
      <c r="N805" s="147"/>
      <c r="O805" s="322"/>
      <c r="P805" s="8"/>
      <c r="Q805" s="8"/>
      <c r="R805" s="8"/>
      <c r="S805" s="8"/>
      <c r="T805" s="8"/>
      <c r="U805" s="8"/>
      <c r="V805" s="8"/>
      <c r="W805" s="8"/>
      <c r="X805" s="8"/>
      <c r="Y805" s="8"/>
      <c r="Z805" s="8"/>
    </row>
    <row r="806" spans="1:26" s="9" customFormat="1" ht="15.75">
      <c r="A806" s="352" t="s">
        <v>743</v>
      </c>
      <c r="B806" s="358"/>
      <c r="C806" s="358"/>
      <c r="D806" s="358"/>
      <c r="E806" s="358"/>
      <c r="F806" s="358"/>
      <c r="G806" s="358"/>
      <c r="H806" s="358"/>
      <c r="I806" s="358"/>
      <c r="J806" s="358"/>
      <c r="K806" s="358"/>
      <c r="L806" s="358"/>
      <c r="M806" s="358"/>
      <c r="N806" s="359"/>
      <c r="O806" s="360"/>
      <c r="P806" s="8"/>
      <c r="Q806" s="8"/>
      <c r="R806" s="8"/>
      <c r="S806" s="8"/>
      <c r="T806" s="8"/>
      <c r="U806" s="8"/>
      <c r="V806" s="8"/>
      <c r="W806" s="8"/>
      <c r="X806" s="8"/>
      <c r="Y806" s="8"/>
      <c r="Z806" s="8"/>
    </row>
    <row r="807" spans="1:26" s="9" customFormat="1" ht="15.75">
      <c r="A807" s="110" t="s">
        <v>174</v>
      </c>
      <c r="B807" s="36">
        <v>47</v>
      </c>
      <c r="C807" s="36">
        <v>34</v>
      </c>
      <c r="D807" s="36">
        <v>44</v>
      </c>
      <c r="E807" s="36">
        <v>2</v>
      </c>
      <c r="F807" s="36">
        <v>16</v>
      </c>
      <c r="G807" s="36">
        <v>24</v>
      </c>
      <c r="H807" s="36">
        <v>48</v>
      </c>
      <c r="I807" s="36">
        <v>49</v>
      </c>
      <c r="J807" s="36">
        <v>40</v>
      </c>
      <c r="K807" s="36">
        <v>31</v>
      </c>
      <c r="L807" s="36">
        <v>52</v>
      </c>
      <c r="M807" s="36">
        <v>45</v>
      </c>
      <c r="N807" s="154">
        <f t="shared" ref="N807:N813" si="819">SUM(B807:M807)</f>
        <v>432</v>
      </c>
      <c r="O807" s="111">
        <f t="shared" ref="O807:O813" si="820">IF(N807=0,0,AVERAGE(B807:M807))</f>
        <v>36</v>
      </c>
      <c r="P807" s="8"/>
      <c r="Q807" s="8"/>
      <c r="R807" s="8"/>
      <c r="S807" s="8"/>
      <c r="T807" s="8"/>
      <c r="U807" s="8"/>
      <c r="V807" s="8"/>
      <c r="W807" s="8"/>
      <c r="X807" s="8"/>
      <c r="Y807" s="8"/>
      <c r="Z807" s="8"/>
    </row>
    <row r="808" spans="1:26" s="9" customFormat="1" ht="15.75">
      <c r="A808" s="34" t="s">
        <v>175</v>
      </c>
      <c r="B808" s="18">
        <v>0</v>
      </c>
      <c r="C808" s="18">
        <v>1</v>
      </c>
      <c r="D808" s="18">
        <v>4</v>
      </c>
      <c r="E808" s="18">
        <v>0</v>
      </c>
      <c r="F808" s="18">
        <v>0</v>
      </c>
      <c r="G808" s="18">
        <v>1</v>
      </c>
      <c r="H808" s="18">
        <v>0</v>
      </c>
      <c r="I808" s="18">
        <v>0</v>
      </c>
      <c r="J808" s="18">
        <v>0</v>
      </c>
      <c r="K808" s="18">
        <v>0</v>
      </c>
      <c r="L808" s="18">
        <v>0</v>
      </c>
      <c r="M808" s="18">
        <v>1</v>
      </c>
      <c r="N808" s="133">
        <f t="shared" si="819"/>
        <v>7</v>
      </c>
      <c r="O808" s="19">
        <f t="shared" si="820"/>
        <v>0.58333333333333337</v>
      </c>
      <c r="P808" s="8"/>
      <c r="Q808" s="8"/>
      <c r="R808" s="8"/>
      <c r="S808" s="8"/>
      <c r="T808" s="8"/>
      <c r="U808" s="8"/>
      <c r="V808" s="8"/>
      <c r="W808" s="8"/>
      <c r="X808" s="8"/>
      <c r="Y808" s="8"/>
      <c r="Z808" s="8"/>
    </row>
    <row r="809" spans="1:26" s="9" customFormat="1" ht="15.75">
      <c r="A809" s="34" t="s">
        <v>176</v>
      </c>
      <c r="B809" s="18">
        <v>0</v>
      </c>
      <c r="C809" s="18">
        <v>0</v>
      </c>
      <c r="D809" s="18">
        <v>1</v>
      </c>
      <c r="E809" s="18">
        <v>0</v>
      </c>
      <c r="F809" s="18">
        <v>0</v>
      </c>
      <c r="G809" s="18">
        <v>0</v>
      </c>
      <c r="H809" s="18">
        <v>0</v>
      </c>
      <c r="I809" s="18">
        <v>2</v>
      </c>
      <c r="J809" s="18">
        <v>0</v>
      </c>
      <c r="K809" s="18">
        <v>0</v>
      </c>
      <c r="L809" s="18">
        <v>0</v>
      </c>
      <c r="M809" s="18">
        <v>0</v>
      </c>
      <c r="N809" s="133">
        <f t="shared" si="819"/>
        <v>3</v>
      </c>
      <c r="O809" s="19">
        <f t="shared" si="820"/>
        <v>0.25</v>
      </c>
      <c r="P809" s="8"/>
      <c r="Q809" s="8"/>
      <c r="R809" s="8"/>
      <c r="S809" s="8"/>
      <c r="T809" s="8"/>
      <c r="U809" s="8"/>
      <c r="V809" s="8"/>
      <c r="W809" s="8"/>
      <c r="X809" s="8"/>
      <c r="Y809" s="8"/>
      <c r="Z809" s="8"/>
    </row>
    <row r="810" spans="1:26" ht="15.75">
      <c r="A810" s="34" t="s">
        <v>148</v>
      </c>
      <c r="B810" s="18">
        <v>0</v>
      </c>
      <c r="C810" s="18">
        <v>0</v>
      </c>
      <c r="D810" s="18">
        <v>0</v>
      </c>
      <c r="E810" s="18">
        <v>0</v>
      </c>
      <c r="F810" s="18">
        <v>0</v>
      </c>
      <c r="G810" s="18">
        <v>0</v>
      </c>
      <c r="H810" s="18">
        <v>0</v>
      </c>
      <c r="I810" s="18">
        <v>0</v>
      </c>
      <c r="J810" s="18">
        <v>0</v>
      </c>
      <c r="K810" s="18">
        <v>0</v>
      </c>
      <c r="L810" s="18">
        <v>0</v>
      </c>
      <c r="M810" s="18">
        <v>0</v>
      </c>
      <c r="N810" s="133">
        <f t="shared" si="819"/>
        <v>0</v>
      </c>
      <c r="O810" s="19">
        <f t="shared" si="820"/>
        <v>0</v>
      </c>
    </row>
    <row r="811" spans="1:26" s="9" customFormat="1" ht="15.75">
      <c r="A811" s="34" t="s">
        <v>177</v>
      </c>
      <c r="B811" s="18">
        <v>0</v>
      </c>
      <c r="C811" s="18">
        <v>0</v>
      </c>
      <c r="D811" s="18">
        <v>0</v>
      </c>
      <c r="E811" s="18">
        <v>0</v>
      </c>
      <c r="F811" s="18">
        <v>0</v>
      </c>
      <c r="G811" s="18">
        <v>1</v>
      </c>
      <c r="H811" s="18">
        <v>0</v>
      </c>
      <c r="I811" s="18">
        <v>0</v>
      </c>
      <c r="J811" s="18">
        <v>0</v>
      </c>
      <c r="K811" s="18">
        <v>0</v>
      </c>
      <c r="L811" s="18">
        <v>0</v>
      </c>
      <c r="M811" s="18">
        <v>0</v>
      </c>
      <c r="N811" s="133">
        <f t="shared" si="819"/>
        <v>1</v>
      </c>
      <c r="O811" s="19">
        <f t="shared" si="820"/>
        <v>8.3333333333333329E-2</v>
      </c>
      <c r="P811" s="8"/>
      <c r="Q811" s="8"/>
      <c r="R811" s="8"/>
      <c r="S811" s="8"/>
      <c r="T811" s="8"/>
      <c r="U811" s="8"/>
      <c r="V811" s="8"/>
      <c r="W811" s="8"/>
      <c r="X811" s="8"/>
      <c r="Y811" s="8"/>
      <c r="Z811" s="8"/>
    </row>
    <row r="812" spans="1:26" s="9" customFormat="1" ht="15.75">
      <c r="A812" s="34" t="s">
        <v>382</v>
      </c>
      <c r="B812" s="18">
        <v>321</v>
      </c>
      <c r="C812" s="18">
        <v>341</v>
      </c>
      <c r="D812" s="18">
        <v>201</v>
      </c>
      <c r="E812" s="18">
        <v>4</v>
      </c>
      <c r="F812" s="18">
        <v>90</v>
      </c>
      <c r="G812" s="18">
        <v>185</v>
      </c>
      <c r="H812" s="18">
        <v>308</v>
      </c>
      <c r="I812" s="18">
        <v>302</v>
      </c>
      <c r="J812" s="18">
        <v>262</v>
      </c>
      <c r="K812" s="18">
        <v>220</v>
      </c>
      <c r="L812" s="18">
        <v>196</v>
      </c>
      <c r="M812" s="18">
        <v>203</v>
      </c>
      <c r="N812" s="133">
        <f t="shared" si="819"/>
        <v>2633</v>
      </c>
      <c r="O812" s="19">
        <f t="shared" si="820"/>
        <v>219.41666666666666</v>
      </c>
      <c r="P812" s="8"/>
      <c r="Q812" s="8"/>
      <c r="R812" s="8"/>
      <c r="S812" s="8"/>
      <c r="T812" s="8"/>
      <c r="U812" s="8"/>
      <c r="V812" s="8"/>
      <c r="W812" s="8"/>
      <c r="X812" s="8"/>
      <c r="Y812" s="8"/>
      <c r="Z812" s="8"/>
    </row>
    <row r="813" spans="1:26" s="9" customFormat="1" ht="15.75">
      <c r="A813" s="34" t="s">
        <v>22</v>
      </c>
      <c r="B813" s="18">
        <v>3</v>
      </c>
      <c r="C813" s="18">
        <v>3</v>
      </c>
      <c r="D813" s="18">
        <f>1+2</f>
        <v>3</v>
      </c>
      <c r="E813" s="18">
        <v>0</v>
      </c>
      <c r="F813" s="18">
        <v>0</v>
      </c>
      <c r="G813" s="18">
        <v>0</v>
      </c>
      <c r="H813" s="18">
        <v>3</v>
      </c>
      <c r="I813" s="18">
        <v>1</v>
      </c>
      <c r="J813" s="18">
        <v>2</v>
      </c>
      <c r="K813" s="18">
        <v>2</v>
      </c>
      <c r="L813" s="18">
        <v>7</v>
      </c>
      <c r="M813" s="18">
        <f>1+1</f>
        <v>2</v>
      </c>
      <c r="N813" s="133">
        <f t="shared" si="819"/>
        <v>26</v>
      </c>
      <c r="O813" s="19">
        <f t="shared" si="820"/>
        <v>2.1666666666666665</v>
      </c>
      <c r="P813" s="8"/>
      <c r="Q813" s="8"/>
      <c r="R813" s="8"/>
      <c r="S813" s="8"/>
      <c r="T813" s="8"/>
      <c r="U813" s="8"/>
      <c r="V813" s="8"/>
      <c r="W813" s="8"/>
      <c r="X813" s="8"/>
      <c r="Y813" s="8"/>
      <c r="Z813" s="8"/>
    </row>
    <row r="814" spans="1:26" s="9" customFormat="1" ht="15.75">
      <c r="A814" s="433" t="s">
        <v>21</v>
      </c>
      <c r="B814" s="473">
        <f t="shared" ref="B814:G814" si="821">SUM(B807:B813)</f>
        <v>371</v>
      </c>
      <c r="C814" s="473">
        <f t="shared" si="821"/>
        <v>379</v>
      </c>
      <c r="D814" s="473">
        <f t="shared" si="821"/>
        <v>253</v>
      </c>
      <c r="E814" s="473">
        <f t="shared" si="821"/>
        <v>6</v>
      </c>
      <c r="F814" s="473">
        <f t="shared" si="821"/>
        <v>106</v>
      </c>
      <c r="G814" s="473">
        <f t="shared" si="821"/>
        <v>211</v>
      </c>
      <c r="H814" s="473">
        <f t="shared" ref="H814:I814" si="822">SUM(H807:H813)</f>
        <v>359</v>
      </c>
      <c r="I814" s="473">
        <f t="shared" si="822"/>
        <v>354</v>
      </c>
      <c r="J814" s="473">
        <f t="shared" ref="J814:K814" si="823">SUM(J807:J813)</f>
        <v>304</v>
      </c>
      <c r="K814" s="473">
        <f t="shared" si="823"/>
        <v>253</v>
      </c>
      <c r="L814" s="473">
        <f t="shared" ref="L814:M814" si="824">SUM(L807:L813)</f>
        <v>255</v>
      </c>
      <c r="M814" s="473">
        <f t="shared" si="824"/>
        <v>251</v>
      </c>
      <c r="N814" s="435">
        <f>SUM(N807:N813)</f>
        <v>3102</v>
      </c>
      <c r="O814" s="434">
        <f>SUM(O807:O813)</f>
        <v>258.5</v>
      </c>
      <c r="P814" s="8"/>
      <c r="Q814" s="8"/>
      <c r="R814" s="8"/>
      <c r="S814" s="8"/>
      <c r="T814" s="8"/>
      <c r="U814" s="8"/>
      <c r="V814" s="8"/>
      <c r="W814" s="8"/>
      <c r="X814" s="8"/>
      <c r="Y814" s="8"/>
      <c r="Z814" s="8"/>
    </row>
    <row r="815" spans="1:26" s="9" customFormat="1" ht="15.75">
      <c r="A815" s="67" t="s">
        <v>112</v>
      </c>
      <c r="B815" s="45">
        <f t="shared" ref="B815:G815" si="825">IF(B814=0,"",B814/B$1676)</f>
        <v>11.96774193548387</v>
      </c>
      <c r="C815" s="45">
        <f t="shared" si="825"/>
        <v>13.535714285714286</v>
      </c>
      <c r="D815" s="45">
        <f t="shared" si="825"/>
        <v>8.1612903225806459</v>
      </c>
      <c r="E815" s="45">
        <f t="shared" si="825"/>
        <v>0.2</v>
      </c>
      <c r="F815" s="45">
        <f t="shared" si="825"/>
        <v>3.4193548387096775</v>
      </c>
      <c r="G815" s="45">
        <f t="shared" si="825"/>
        <v>7.0333333333333332</v>
      </c>
      <c r="H815" s="45">
        <f t="shared" ref="H815:I815" si="826">IF(H814=0,"",H814/H$1676)</f>
        <v>11.580645161290322</v>
      </c>
      <c r="I815" s="45">
        <f t="shared" si="826"/>
        <v>11.419354838709678</v>
      </c>
      <c r="J815" s="45">
        <f t="shared" ref="J815:K815" si="827">IF(J814=0,"",J814/J$1676)</f>
        <v>10.133333333333333</v>
      </c>
      <c r="K815" s="45">
        <f t="shared" si="827"/>
        <v>8.1612903225806459</v>
      </c>
      <c r="L815" s="45">
        <f t="shared" ref="L815:M815" si="828">IF(L814=0,"",L814/L$1676)</f>
        <v>8.5</v>
      </c>
      <c r="M815" s="45">
        <f t="shared" si="828"/>
        <v>8.0967741935483879</v>
      </c>
      <c r="N815" s="139">
        <f>SUM(B815:M815)</f>
        <v>102.20883256528418</v>
      </c>
      <c r="O815" s="45">
        <f>IF(N815=0,0,AVERAGE(B815:M815))</f>
        <v>8.5174027137736825</v>
      </c>
      <c r="P815" s="8"/>
      <c r="Q815" s="8"/>
      <c r="R815" s="8"/>
      <c r="S815" s="8"/>
      <c r="T815" s="8"/>
      <c r="U815" s="8"/>
      <c r="V815" s="8"/>
      <c r="W815" s="8"/>
      <c r="X815" s="8"/>
      <c r="Y815" s="8"/>
      <c r="Z815" s="8"/>
    </row>
    <row r="816" spans="1:26" s="9" customFormat="1" ht="15.75">
      <c r="A816" s="469"/>
      <c r="B816" s="470"/>
      <c r="C816" s="470"/>
      <c r="D816" s="470"/>
      <c r="E816" s="471"/>
      <c r="F816" s="471"/>
      <c r="G816" s="471"/>
      <c r="H816" s="471"/>
      <c r="I816" s="471"/>
      <c r="J816" s="471"/>
      <c r="K816" s="471"/>
      <c r="L816" s="471"/>
      <c r="M816" s="471"/>
      <c r="N816" s="472"/>
      <c r="O816" s="372"/>
      <c r="P816" s="8"/>
      <c r="Q816" s="8"/>
      <c r="R816" s="8"/>
      <c r="S816" s="8"/>
      <c r="T816" s="8"/>
      <c r="U816" s="8"/>
      <c r="V816" s="8"/>
      <c r="W816" s="8"/>
      <c r="X816" s="8"/>
      <c r="Y816" s="8"/>
      <c r="Z816" s="8"/>
    </row>
    <row r="817" spans="1:26" s="9" customFormat="1" ht="15.75">
      <c r="A817" s="459" t="s">
        <v>744</v>
      </c>
      <c r="B817" s="475"/>
      <c r="C817" s="475"/>
      <c r="D817" s="475"/>
      <c r="E817" s="475"/>
      <c r="F817" s="475"/>
      <c r="G817" s="475"/>
      <c r="H817" s="475"/>
      <c r="I817" s="475"/>
      <c r="J817" s="475"/>
      <c r="K817" s="475"/>
      <c r="L817" s="475"/>
      <c r="M817" s="475"/>
      <c r="N817" s="476"/>
      <c r="O817" s="477"/>
      <c r="P817" s="8"/>
      <c r="Q817" s="8"/>
      <c r="R817" s="8"/>
      <c r="S817" s="8"/>
      <c r="T817" s="8"/>
      <c r="U817" s="8"/>
      <c r="V817" s="8"/>
      <c r="W817" s="8"/>
      <c r="X817" s="8"/>
      <c r="Y817" s="8"/>
      <c r="Z817" s="8"/>
    </row>
    <row r="818" spans="1:26" s="9" customFormat="1" ht="15.75">
      <c r="A818" s="71" t="s">
        <v>667</v>
      </c>
      <c r="B818" s="474"/>
      <c r="C818" s="474"/>
      <c r="D818" s="474"/>
      <c r="E818" s="474"/>
      <c r="F818" s="474"/>
      <c r="G818" s="474"/>
      <c r="H818" s="474"/>
      <c r="I818" s="474"/>
      <c r="J818" s="474"/>
      <c r="K818" s="474"/>
      <c r="L818" s="474"/>
      <c r="M818" s="474"/>
      <c r="N818" s="145"/>
      <c r="O818" s="247"/>
      <c r="P818" s="8"/>
      <c r="Q818" s="8"/>
      <c r="R818" s="8"/>
      <c r="S818" s="8"/>
      <c r="T818" s="8"/>
      <c r="U818" s="8"/>
      <c r="V818" s="8"/>
      <c r="W818" s="8"/>
      <c r="X818" s="8"/>
      <c r="Y818" s="8"/>
      <c r="Z818" s="8"/>
    </row>
    <row r="819" spans="1:26" s="9" customFormat="1" ht="15.75">
      <c r="A819" s="37" t="s">
        <v>18</v>
      </c>
      <c r="B819" s="18">
        <v>0</v>
      </c>
      <c r="C819" s="18">
        <v>0</v>
      </c>
      <c r="D819" s="18">
        <v>0</v>
      </c>
      <c r="E819" s="18">
        <v>0</v>
      </c>
      <c r="F819" s="18">
        <v>1</v>
      </c>
      <c r="G819" s="18">
        <v>1</v>
      </c>
      <c r="H819" s="18">
        <v>1</v>
      </c>
      <c r="I819" s="18">
        <v>1</v>
      </c>
      <c r="J819" s="18">
        <v>0</v>
      </c>
      <c r="K819" s="18">
        <v>0</v>
      </c>
      <c r="L819" s="18">
        <v>1</v>
      </c>
      <c r="M819" s="18">
        <v>2</v>
      </c>
      <c r="N819" s="133">
        <f>SUM(B819:M819)</f>
        <v>7</v>
      </c>
      <c r="O819" s="19">
        <f>IF(N819=0,0,AVERAGE(B819:M819))</f>
        <v>0.58333333333333337</v>
      </c>
      <c r="P819" s="8"/>
      <c r="Q819" s="8"/>
      <c r="R819" s="8"/>
      <c r="S819" s="8"/>
      <c r="T819" s="8"/>
      <c r="U819" s="8"/>
      <c r="V819" s="8"/>
      <c r="W819" s="8"/>
      <c r="X819" s="8"/>
      <c r="Y819" s="8"/>
      <c r="Z819" s="8"/>
    </row>
    <row r="820" spans="1:26" s="9" customFormat="1" ht="15.75">
      <c r="A820" s="37" t="s">
        <v>19</v>
      </c>
      <c r="B820" s="18">
        <v>1</v>
      </c>
      <c r="C820" s="18">
        <v>4</v>
      </c>
      <c r="D820" s="18">
        <v>3</v>
      </c>
      <c r="E820" s="18">
        <v>4</v>
      </c>
      <c r="F820" s="18">
        <v>0</v>
      </c>
      <c r="G820" s="18">
        <v>2</v>
      </c>
      <c r="H820" s="18">
        <v>3</v>
      </c>
      <c r="I820" s="18">
        <v>1</v>
      </c>
      <c r="J820" s="18">
        <v>2</v>
      </c>
      <c r="K820" s="18">
        <v>2</v>
      </c>
      <c r="L820" s="18">
        <v>2</v>
      </c>
      <c r="M820" s="18">
        <v>2</v>
      </c>
      <c r="N820" s="133">
        <f>SUM(B820:M820)</f>
        <v>26</v>
      </c>
      <c r="O820" s="19">
        <f>IF(N820=0,0,AVERAGE(B820:M820))</f>
        <v>2.1666666666666665</v>
      </c>
      <c r="P820" s="8"/>
      <c r="Q820" s="8"/>
      <c r="R820" s="8"/>
      <c r="S820" s="8"/>
      <c r="T820" s="8"/>
      <c r="U820" s="8"/>
      <c r="V820" s="8"/>
      <c r="W820" s="8"/>
      <c r="X820" s="8"/>
      <c r="Y820" s="8"/>
      <c r="Z820" s="8"/>
    </row>
    <row r="821" spans="1:26" s="9" customFormat="1" ht="15.75">
      <c r="A821" s="37" t="s">
        <v>20</v>
      </c>
      <c r="B821" s="18">
        <v>0</v>
      </c>
      <c r="C821" s="18">
        <v>0</v>
      </c>
      <c r="D821" s="18">
        <v>0</v>
      </c>
      <c r="E821" s="18">
        <v>0</v>
      </c>
      <c r="F821" s="18">
        <v>0</v>
      </c>
      <c r="G821" s="18">
        <v>0</v>
      </c>
      <c r="H821" s="18">
        <v>0</v>
      </c>
      <c r="I821" s="18">
        <v>0</v>
      </c>
      <c r="J821" s="18">
        <v>0</v>
      </c>
      <c r="K821" s="18">
        <v>0</v>
      </c>
      <c r="L821" s="18">
        <v>0</v>
      </c>
      <c r="M821" s="18">
        <v>1</v>
      </c>
      <c r="N821" s="133">
        <f>SUM(B821:M821)</f>
        <v>1</v>
      </c>
      <c r="O821" s="19">
        <f>IF(N821=0,0,AVERAGE(B821:M821))</f>
        <v>8.3333333333333329E-2</v>
      </c>
      <c r="P821" s="8"/>
      <c r="Q821" s="8"/>
      <c r="R821" s="8"/>
      <c r="S821" s="8"/>
      <c r="T821" s="8"/>
      <c r="U821" s="8"/>
      <c r="V821" s="8"/>
      <c r="W821" s="8"/>
      <c r="X821" s="8"/>
      <c r="Y821" s="8"/>
      <c r="Z821" s="8"/>
    </row>
    <row r="822" spans="1:26" s="9" customFormat="1" ht="15.75">
      <c r="A822" s="56" t="s">
        <v>21</v>
      </c>
      <c r="B822" s="21">
        <f t="shared" ref="B822:C822" si="829">SUM(B819:B821)</f>
        <v>1</v>
      </c>
      <c r="C822" s="21">
        <f t="shared" si="829"/>
        <v>4</v>
      </c>
      <c r="D822" s="21">
        <f t="shared" ref="D822:E822" si="830">SUM(D819:D821)</f>
        <v>3</v>
      </c>
      <c r="E822" s="21">
        <f t="shared" si="830"/>
        <v>4</v>
      </c>
      <c r="F822" s="21">
        <f t="shared" ref="F822:G822" si="831">SUM(F819:F821)</f>
        <v>1</v>
      </c>
      <c r="G822" s="21">
        <f t="shared" si="831"/>
        <v>3</v>
      </c>
      <c r="H822" s="21">
        <f t="shared" ref="H822:I822" si="832">SUM(H819:H821)</f>
        <v>4</v>
      </c>
      <c r="I822" s="21">
        <f t="shared" si="832"/>
        <v>2</v>
      </c>
      <c r="J822" s="21">
        <f t="shared" ref="J822:K822" si="833">SUM(J819:J821)</f>
        <v>2</v>
      </c>
      <c r="K822" s="21">
        <f t="shared" si="833"/>
        <v>2</v>
      </c>
      <c r="L822" s="21">
        <f t="shared" ref="L822:M822" si="834">SUM(L819:L821)</f>
        <v>3</v>
      </c>
      <c r="M822" s="21">
        <f t="shared" si="834"/>
        <v>5</v>
      </c>
      <c r="N822" s="128">
        <f>SUM(N819:N821)</f>
        <v>34</v>
      </c>
      <c r="O822" s="22">
        <f>SUM(O819:O821)</f>
        <v>2.8333333333333335</v>
      </c>
      <c r="P822" s="8"/>
      <c r="Q822" s="8"/>
      <c r="R822" s="8"/>
      <c r="S822" s="8"/>
      <c r="T822" s="8"/>
      <c r="U822" s="8"/>
      <c r="V822" s="8"/>
      <c r="W822" s="8"/>
      <c r="X822" s="8"/>
      <c r="Y822" s="8"/>
      <c r="Z822" s="8"/>
    </row>
    <row r="823" spans="1:26" s="9" customFormat="1" ht="15.75">
      <c r="A823" s="56" t="s">
        <v>112</v>
      </c>
      <c r="B823" s="22">
        <f t="shared" ref="B823:G823" si="835">IF(B822=0,"",B822/B$1676)</f>
        <v>3.2258064516129031E-2</v>
      </c>
      <c r="C823" s="22">
        <f t="shared" si="835"/>
        <v>0.14285714285714285</v>
      </c>
      <c r="D823" s="22">
        <f t="shared" si="835"/>
        <v>9.6774193548387094E-2</v>
      </c>
      <c r="E823" s="22">
        <f t="shared" si="835"/>
        <v>0.13333333333333333</v>
      </c>
      <c r="F823" s="22">
        <f t="shared" si="835"/>
        <v>3.2258064516129031E-2</v>
      </c>
      <c r="G823" s="22">
        <f t="shared" si="835"/>
        <v>0.1</v>
      </c>
      <c r="H823" s="22">
        <f t="shared" ref="H823:I823" si="836">IF(H822=0,"",H822/H$1676)</f>
        <v>0.12903225806451613</v>
      </c>
      <c r="I823" s="22">
        <f t="shared" si="836"/>
        <v>6.4516129032258063E-2</v>
      </c>
      <c r="J823" s="22">
        <f t="shared" ref="J823:K823" si="837">IF(J822=0,"",J822/J$1676)</f>
        <v>6.6666666666666666E-2</v>
      </c>
      <c r="K823" s="22">
        <f t="shared" si="837"/>
        <v>6.4516129032258063E-2</v>
      </c>
      <c r="L823" s="22">
        <f t="shared" ref="L823:M823" si="838">IF(L822=0,"",L822/L$1676)</f>
        <v>0.1</v>
      </c>
      <c r="M823" s="22">
        <f t="shared" si="838"/>
        <v>0.16129032258064516</v>
      </c>
      <c r="N823" s="128">
        <f>SUM(B823:M823)</f>
        <v>1.1235023041474652</v>
      </c>
      <c r="O823" s="22">
        <f>IF(N823=0,0,AVERAGE(B823:M823))</f>
        <v>9.3625192012288763E-2</v>
      </c>
      <c r="P823" s="8"/>
      <c r="Q823" s="8"/>
      <c r="R823" s="8"/>
      <c r="S823" s="8"/>
      <c r="T823" s="8"/>
      <c r="U823" s="8"/>
      <c r="V823" s="8"/>
      <c r="W823" s="8"/>
      <c r="X823" s="8"/>
      <c r="Y823" s="8"/>
      <c r="Z823" s="8"/>
    </row>
    <row r="824" spans="1:26" s="9" customFormat="1" ht="15.75">
      <c r="A824" s="82"/>
      <c r="B824" s="83"/>
      <c r="C824" s="83"/>
      <c r="D824" s="83"/>
      <c r="E824" s="83"/>
      <c r="F824" s="83"/>
      <c r="G824" s="83"/>
      <c r="H824" s="83"/>
      <c r="I824" s="83"/>
      <c r="J824" s="83"/>
      <c r="K824" s="83"/>
      <c r="L824" s="83"/>
      <c r="M824" s="83"/>
      <c r="N824" s="148"/>
      <c r="O824" s="84"/>
      <c r="P824" s="8"/>
      <c r="Q824" s="8"/>
      <c r="R824" s="8"/>
      <c r="S824" s="8"/>
      <c r="T824" s="8"/>
      <c r="U824" s="8"/>
      <c r="V824" s="8"/>
      <c r="W824" s="8"/>
      <c r="X824" s="8"/>
      <c r="Y824" s="8"/>
      <c r="Z824" s="8"/>
    </row>
    <row r="825" spans="1:26" s="9" customFormat="1" ht="15.75">
      <c r="A825" s="60" t="s">
        <v>668</v>
      </c>
      <c r="B825" s="15"/>
      <c r="C825" s="15"/>
      <c r="D825" s="15"/>
      <c r="E825" s="15"/>
      <c r="F825" s="15"/>
      <c r="G825" s="15"/>
      <c r="H825" s="15"/>
      <c r="I825" s="15"/>
      <c r="J825" s="15"/>
      <c r="K825" s="15"/>
      <c r="L825" s="15"/>
      <c r="M825" s="15"/>
      <c r="N825" s="132"/>
      <c r="O825" s="16"/>
      <c r="P825" s="8"/>
      <c r="Q825" s="8"/>
      <c r="R825" s="8"/>
      <c r="S825" s="8"/>
      <c r="T825" s="8"/>
      <c r="U825" s="8"/>
      <c r="V825" s="8"/>
      <c r="W825" s="8"/>
      <c r="X825" s="8"/>
      <c r="Y825" s="8"/>
      <c r="Z825" s="8"/>
    </row>
    <row r="826" spans="1:26" s="9" customFormat="1" ht="15.75">
      <c r="A826" s="34" t="s">
        <v>114</v>
      </c>
      <c r="B826" s="18">
        <v>86</v>
      </c>
      <c r="C826" s="18">
        <v>97</v>
      </c>
      <c r="D826" s="18">
        <v>46</v>
      </c>
      <c r="E826" s="18">
        <v>0</v>
      </c>
      <c r="F826" s="18">
        <v>71</v>
      </c>
      <c r="G826" s="18">
        <v>111</v>
      </c>
      <c r="H826" s="18">
        <v>119</v>
      </c>
      <c r="I826" s="18">
        <v>116</v>
      </c>
      <c r="J826" s="18">
        <v>99</v>
      </c>
      <c r="K826" s="18">
        <v>57</v>
      </c>
      <c r="L826" s="18">
        <v>98</v>
      </c>
      <c r="M826" s="18">
        <v>101</v>
      </c>
      <c r="N826" s="133">
        <f>SUM(B826:M826)</f>
        <v>1001</v>
      </c>
      <c r="O826" s="19">
        <f>IF(N826=0,0,AVERAGE(B826:M826))</f>
        <v>83.416666666666671</v>
      </c>
      <c r="P826" s="8"/>
      <c r="Q826" s="8"/>
      <c r="R826" s="8"/>
      <c r="S826" s="8"/>
      <c r="T826" s="8"/>
      <c r="U826" s="8"/>
      <c r="V826" s="8"/>
      <c r="W826" s="8"/>
      <c r="X826" s="8"/>
      <c r="Y826" s="8"/>
      <c r="Z826" s="8"/>
    </row>
    <row r="827" spans="1:26" s="9" customFormat="1" ht="15.75">
      <c r="A827" s="56" t="s">
        <v>21</v>
      </c>
      <c r="B827" s="21">
        <f t="shared" ref="B827:C827" si="839">SUM(B826)</f>
        <v>86</v>
      </c>
      <c r="C827" s="21">
        <f t="shared" si="839"/>
        <v>97</v>
      </c>
      <c r="D827" s="21">
        <f t="shared" ref="D827:E827" si="840">SUM(D826)</f>
        <v>46</v>
      </c>
      <c r="E827" s="21">
        <f t="shared" si="840"/>
        <v>0</v>
      </c>
      <c r="F827" s="21">
        <f t="shared" ref="F827:G827" si="841">SUM(F826)</f>
        <v>71</v>
      </c>
      <c r="G827" s="21">
        <f t="shared" si="841"/>
        <v>111</v>
      </c>
      <c r="H827" s="21">
        <f t="shared" ref="H827:I827" si="842">SUM(H826)</f>
        <v>119</v>
      </c>
      <c r="I827" s="21">
        <f t="shared" si="842"/>
        <v>116</v>
      </c>
      <c r="J827" s="21">
        <f t="shared" ref="J827:K827" si="843">SUM(J826)</f>
        <v>99</v>
      </c>
      <c r="K827" s="21">
        <f t="shared" si="843"/>
        <v>57</v>
      </c>
      <c r="L827" s="21">
        <f t="shared" ref="L827:M827" si="844">SUM(L826)</f>
        <v>98</v>
      </c>
      <c r="M827" s="21">
        <f t="shared" si="844"/>
        <v>101</v>
      </c>
      <c r="N827" s="128">
        <f>SUM(N826)</f>
        <v>1001</v>
      </c>
      <c r="O827" s="22">
        <f>SUM(O826)</f>
        <v>83.416666666666671</v>
      </c>
      <c r="P827" s="8"/>
      <c r="Q827" s="8"/>
      <c r="R827" s="8"/>
      <c r="S827" s="8"/>
      <c r="T827" s="8"/>
      <c r="U827" s="8"/>
      <c r="V827" s="8"/>
      <c r="W827" s="8"/>
      <c r="X827" s="8"/>
      <c r="Y827" s="8"/>
      <c r="Z827" s="8"/>
    </row>
    <row r="828" spans="1:26" s="9" customFormat="1" ht="15.75">
      <c r="A828" s="56" t="s">
        <v>112</v>
      </c>
      <c r="B828" s="22">
        <f>IF(B827=0,"",B827/B$1676)</f>
        <v>2.774193548387097</v>
      </c>
      <c r="C828" s="22">
        <f>IF(C827=0,"",C827/C$1676)</f>
        <v>3.4642857142857144</v>
      </c>
      <c r="D828" s="22">
        <f>IF(D827=0,"",D827/D$1676)</f>
        <v>1.4838709677419355</v>
      </c>
      <c r="E828" s="22" t="s">
        <v>44</v>
      </c>
      <c r="F828" s="22">
        <f t="shared" ref="F828:K828" si="845">IF(F827=0,"",F827/F$1676)</f>
        <v>2.2903225806451615</v>
      </c>
      <c r="G828" s="22">
        <f t="shared" si="845"/>
        <v>3.7</v>
      </c>
      <c r="H828" s="22">
        <f t="shared" si="845"/>
        <v>3.838709677419355</v>
      </c>
      <c r="I828" s="22">
        <f t="shared" si="845"/>
        <v>3.7419354838709675</v>
      </c>
      <c r="J828" s="22">
        <f t="shared" si="845"/>
        <v>3.3</v>
      </c>
      <c r="K828" s="22">
        <f t="shared" si="845"/>
        <v>1.8387096774193548</v>
      </c>
      <c r="L828" s="22">
        <f t="shared" ref="L828:M828" si="846">IF(L827=0,"",L827/L$1676)</f>
        <v>3.2666666666666666</v>
      </c>
      <c r="M828" s="22">
        <f t="shared" si="846"/>
        <v>3.2580645161290325</v>
      </c>
      <c r="N828" s="128">
        <f>SUM(B828:M828)</f>
        <v>32.956758832565292</v>
      </c>
      <c r="O828" s="22">
        <f>IF(N828=0,0,AVERAGE(B828:M828))</f>
        <v>2.9960689847786628</v>
      </c>
      <c r="P828" s="8"/>
      <c r="Q828" s="8"/>
      <c r="R828" s="8"/>
      <c r="S828" s="8"/>
      <c r="T828" s="8"/>
      <c r="U828" s="8"/>
      <c r="V828" s="8"/>
      <c r="W828" s="8"/>
      <c r="X828" s="8"/>
      <c r="Y828" s="8"/>
      <c r="Z828" s="8"/>
    </row>
    <row r="829" spans="1:26" s="9" customFormat="1" ht="15.75">
      <c r="A829" s="82"/>
      <c r="B829" s="83"/>
      <c r="C829" s="83"/>
      <c r="D829" s="83"/>
      <c r="E829" s="83"/>
      <c r="F829" s="83"/>
      <c r="G829" s="83"/>
      <c r="H829" s="83"/>
      <c r="I829" s="83"/>
      <c r="J829" s="83"/>
      <c r="K829" s="83"/>
      <c r="L829" s="83"/>
      <c r="M829" s="83"/>
      <c r="N829" s="148"/>
      <c r="O829" s="84"/>
      <c r="P829" s="8"/>
      <c r="Q829" s="8"/>
      <c r="R829" s="8"/>
      <c r="S829" s="8"/>
      <c r="T829" s="8"/>
      <c r="U829" s="8"/>
      <c r="V829" s="8"/>
      <c r="W829" s="8"/>
      <c r="X829" s="8"/>
      <c r="Y829" s="8"/>
      <c r="Z829" s="8"/>
    </row>
    <row r="830" spans="1:26" s="9" customFormat="1" ht="15.75">
      <c r="A830" s="90" t="s">
        <v>153</v>
      </c>
      <c r="B830" s="86">
        <f t="shared" ref="B830:C830" si="847">B822</f>
        <v>1</v>
      </c>
      <c r="C830" s="86">
        <f t="shared" si="847"/>
        <v>4</v>
      </c>
      <c r="D830" s="86">
        <f t="shared" ref="D830:E830" si="848">D822</f>
        <v>3</v>
      </c>
      <c r="E830" s="86">
        <f t="shared" si="848"/>
        <v>4</v>
      </c>
      <c r="F830" s="86">
        <f t="shared" ref="F830:G830" si="849">F822</f>
        <v>1</v>
      </c>
      <c r="G830" s="86">
        <f t="shared" si="849"/>
        <v>3</v>
      </c>
      <c r="H830" s="86">
        <f t="shared" ref="H830:I830" si="850">H822</f>
        <v>4</v>
      </c>
      <c r="I830" s="86">
        <f t="shared" si="850"/>
        <v>2</v>
      </c>
      <c r="J830" s="86">
        <f t="shared" ref="J830:K830" si="851">J822</f>
        <v>2</v>
      </c>
      <c r="K830" s="86">
        <f t="shared" si="851"/>
        <v>2</v>
      </c>
      <c r="L830" s="86">
        <f t="shared" ref="L830:M830" si="852">L822</f>
        <v>3</v>
      </c>
      <c r="M830" s="86">
        <f t="shared" si="852"/>
        <v>5</v>
      </c>
      <c r="N830" s="133">
        <f>SUM(B830:M830)</f>
        <v>34</v>
      </c>
      <c r="O830" s="19">
        <f>IF(N830=0,0,AVERAGE(B830:M830))</f>
        <v>2.8333333333333335</v>
      </c>
      <c r="P830" s="8"/>
      <c r="Q830" s="8"/>
      <c r="R830" s="8"/>
      <c r="S830" s="8"/>
      <c r="T830" s="8"/>
      <c r="U830" s="8"/>
      <c r="V830" s="8"/>
      <c r="W830" s="8"/>
      <c r="X830" s="8"/>
      <c r="Y830" s="8"/>
      <c r="Z830" s="8"/>
    </row>
    <row r="831" spans="1:26" s="9" customFormat="1" ht="15.75">
      <c r="A831" s="90" t="s">
        <v>154</v>
      </c>
      <c r="B831" s="86">
        <f t="shared" ref="B831:C831" si="853">B827</f>
        <v>86</v>
      </c>
      <c r="C831" s="86">
        <f t="shared" si="853"/>
        <v>97</v>
      </c>
      <c r="D831" s="86">
        <f t="shared" ref="D831:E831" si="854">D827</f>
        <v>46</v>
      </c>
      <c r="E831" s="86">
        <f t="shared" si="854"/>
        <v>0</v>
      </c>
      <c r="F831" s="86">
        <f t="shared" ref="F831:G831" si="855">F827</f>
        <v>71</v>
      </c>
      <c r="G831" s="86">
        <f t="shared" si="855"/>
        <v>111</v>
      </c>
      <c r="H831" s="86">
        <f t="shared" ref="H831:I831" si="856">H827</f>
        <v>119</v>
      </c>
      <c r="I831" s="86">
        <f t="shared" si="856"/>
        <v>116</v>
      </c>
      <c r="J831" s="86">
        <f t="shared" ref="J831:K831" si="857">J827</f>
        <v>99</v>
      </c>
      <c r="K831" s="86">
        <f t="shared" si="857"/>
        <v>57</v>
      </c>
      <c r="L831" s="86">
        <f t="shared" ref="L831:M831" si="858">L827</f>
        <v>98</v>
      </c>
      <c r="M831" s="86">
        <f t="shared" si="858"/>
        <v>101</v>
      </c>
      <c r="N831" s="133">
        <f>SUM(B831:M831)</f>
        <v>1001</v>
      </c>
      <c r="O831" s="19">
        <f>IF(N831=0,0,AVERAGE(B831:M831))</f>
        <v>83.416666666666671</v>
      </c>
      <c r="P831" s="8"/>
      <c r="Q831" s="8"/>
      <c r="R831" s="8"/>
      <c r="S831" s="8"/>
      <c r="T831" s="8"/>
      <c r="U831" s="8"/>
      <c r="V831" s="8"/>
      <c r="W831" s="8"/>
      <c r="X831" s="8"/>
      <c r="Y831" s="8"/>
      <c r="Z831" s="8"/>
    </row>
    <row r="832" spans="1:26" s="9" customFormat="1" ht="15.75">
      <c r="A832" s="478" t="s">
        <v>155</v>
      </c>
      <c r="B832" s="479">
        <f t="shared" ref="B832:C832" si="859">SUM(B830:B831)</f>
        <v>87</v>
      </c>
      <c r="C832" s="479">
        <f t="shared" si="859"/>
        <v>101</v>
      </c>
      <c r="D832" s="479">
        <f t="shared" ref="D832:E832" si="860">SUM(D830:D831)</f>
        <v>49</v>
      </c>
      <c r="E832" s="479">
        <f t="shared" si="860"/>
        <v>4</v>
      </c>
      <c r="F832" s="479">
        <f t="shared" ref="F832:G832" si="861">SUM(F830:F831)</f>
        <v>72</v>
      </c>
      <c r="G832" s="479">
        <f t="shared" si="861"/>
        <v>114</v>
      </c>
      <c r="H832" s="479">
        <f t="shared" ref="H832:I832" si="862">SUM(H830:H831)</f>
        <v>123</v>
      </c>
      <c r="I832" s="479">
        <f t="shared" si="862"/>
        <v>118</v>
      </c>
      <c r="J832" s="479">
        <f t="shared" ref="J832:K832" si="863">SUM(J830:J831)</f>
        <v>101</v>
      </c>
      <c r="K832" s="479">
        <f t="shared" si="863"/>
        <v>59</v>
      </c>
      <c r="L832" s="479">
        <f t="shared" ref="L832:M832" si="864">SUM(L830:L831)</f>
        <v>101</v>
      </c>
      <c r="M832" s="479">
        <f t="shared" si="864"/>
        <v>106</v>
      </c>
      <c r="N832" s="480">
        <f>SUM(N830:N831)</f>
        <v>1035</v>
      </c>
      <c r="O832" s="481">
        <f>SUM(O830:O831)</f>
        <v>86.25</v>
      </c>
      <c r="P832" s="8"/>
      <c r="Q832" s="8"/>
      <c r="R832" s="8"/>
      <c r="S832" s="8"/>
      <c r="T832" s="8"/>
      <c r="U832" s="8"/>
      <c r="V832" s="8"/>
      <c r="W832" s="8"/>
      <c r="X832" s="8"/>
      <c r="Y832" s="8"/>
      <c r="Z832" s="8"/>
    </row>
    <row r="833" spans="1:26" s="9" customFormat="1" ht="15.75">
      <c r="A833" s="490"/>
      <c r="B833" s="491"/>
      <c r="C833" s="491"/>
      <c r="D833" s="491"/>
      <c r="E833" s="492"/>
      <c r="F833" s="492"/>
      <c r="G833" s="492"/>
      <c r="H833" s="492"/>
      <c r="I833" s="492"/>
      <c r="J833" s="492"/>
      <c r="K833" s="492"/>
      <c r="L833" s="492"/>
      <c r="M833" s="492"/>
      <c r="N833" s="493"/>
      <c r="O833" s="494"/>
      <c r="P833" s="8"/>
      <c r="Q833" s="8"/>
      <c r="R833" s="8"/>
      <c r="S833" s="8"/>
      <c r="T833" s="8"/>
      <c r="U833" s="8"/>
      <c r="V833" s="8"/>
      <c r="W833" s="8"/>
      <c r="X833" s="8"/>
      <c r="Y833" s="8"/>
      <c r="Z833" s="8"/>
    </row>
    <row r="834" spans="1:26" s="9" customFormat="1" ht="15.75">
      <c r="A834" s="482" t="s">
        <v>745</v>
      </c>
      <c r="B834" s="483"/>
      <c r="C834" s="483"/>
      <c r="D834" s="483"/>
      <c r="E834" s="483"/>
      <c r="F834" s="483"/>
      <c r="G834" s="483"/>
      <c r="H834" s="483"/>
      <c r="I834" s="483"/>
      <c r="J834" s="483"/>
      <c r="K834" s="483"/>
      <c r="L834" s="483"/>
      <c r="M834" s="483"/>
      <c r="N834" s="484"/>
      <c r="O834" s="485"/>
      <c r="P834" s="8"/>
      <c r="Q834" s="8"/>
      <c r="R834" s="8"/>
      <c r="S834" s="8"/>
      <c r="T834" s="8"/>
      <c r="U834" s="8"/>
      <c r="V834" s="8"/>
      <c r="W834" s="8"/>
      <c r="X834" s="8"/>
      <c r="Y834" s="8"/>
      <c r="Z834" s="8"/>
    </row>
    <row r="835" spans="1:26" s="9" customFormat="1" ht="15.75">
      <c r="A835" s="34" t="s">
        <v>174</v>
      </c>
      <c r="B835" s="18">
        <v>21</v>
      </c>
      <c r="C835" s="18">
        <v>29</v>
      </c>
      <c r="D835" s="18">
        <v>14</v>
      </c>
      <c r="E835" s="18">
        <v>1</v>
      </c>
      <c r="F835" s="18">
        <v>25</v>
      </c>
      <c r="G835" s="18">
        <v>32</v>
      </c>
      <c r="H835" s="18">
        <v>19</v>
      </c>
      <c r="I835" s="18">
        <v>32</v>
      </c>
      <c r="J835" s="18">
        <v>21</v>
      </c>
      <c r="K835" s="18">
        <v>14</v>
      </c>
      <c r="L835" s="18">
        <v>19</v>
      </c>
      <c r="M835" s="18">
        <v>28</v>
      </c>
      <c r="N835" s="133">
        <f t="shared" ref="N835:N838" si="865">SUM(B835:M835)</f>
        <v>255</v>
      </c>
      <c r="O835" s="19">
        <f t="shared" ref="O835:O838" si="866">IF(N835=0,0,AVERAGE(B835:M835))</f>
        <v>21.25</v>
      </c>
      <c r="P835" s="8"/>
      <c r="Q835" s="8"/>
      <c r="R835" s="8"/>
      <c r="S835" s="8"/>
      <c r="T835" s="8"/>
      <c r="U835" s="8"/>
      <c r="V835" s="8"/>
      <c r="W835" s="8"/>
      <c r="X835" s="8"/>
      <c r="Y835" s="8"/>
      <c r="Z835" s="8"/>
    </row>
    <row r="836" spans="1:26" s="9" customFormat="1" ht="15.75">
      <c r="A836" s="34" t="s">
        <v>176</v>
      </c>
      <c r="B836" s="18">
        <v>0</v>
      </c>
      <c r="C836" s="18">
        <v>0</v>
      </c>
      <c r="D836" s="18">
        <v>0</v>
      </c>
      <c r="E836" s="18">
        <v>0</v>
      </c>
      <c r="F836" s="18">
        <v>0</v>
      </c>
      <c r="G836" s="18">
        <v>0</v>
      </c>
      <c r="H836" s="18">
        <v>0</v>
      </c>
      <c r="I836" s="18">
        <v>0</v>
      </c>
      <c r="J836" s="18">
        <v>0</v>
      </c>
      <c r="K836" s="18">
        <v>0</v>
      </c>
      <c r="L836" s="18">
        <v>0</v>
      </c>
      <c r="M836" s="18">
        <v>0</v>
      </c>
      <c r="N836" s="133">
        <f t="shared" si="865"/>
        <v>0</v>
      </c>
      <c r="O836" s="19">
        <f t="shared" si="866"/>
        <v>0</v>
      </c>
      <c r="P836" s="8"/>
      <c r="Q836" s="8"/>
      <c r="R836" s="8"/>
      <c r="S836" s="8"/>
      <c r="T836" s="8"/>
      <c r="U836" s="8"/>
      <c r="V836" s="8"/>
      <c r="W836" s="8"/>
      <c r="X836" s="8"/>
      <c r="Y836" s="8"/>
      <c r="Z836" s="8"/>
    </row>
    <row r="837" spans="1:26" s="9" customFormat="1" ht="15.75">
      <c r="A837" s="34" t="s">
        <v>178</v>
      </c>
      <c r="B837" s="18">
        <v>1</v>
      </c>
      <c r="C837" s="18">
        <v>12</v>
      </c>
      <c r="D837" s="18">
        <v>0</v>
      </c>
      <c r="E837" s="18">
        <v>0</v>
      </c>
      <c r="F837" s="18">
        <v>0</v>
      </c>
      <c r="G837" s="18">
        <v>0</v>
      </c>
      <c r="H837" s="18">
        <v>0</v>
      </c>
      <c r="I837" s="18">
        <v>0</v>
      </c>
      <c r="J837" s="18">
        <v>0</v>
      </c>
      <c r="K837" s="18">
        <v>0</v>
      </c>
      <c r="L837" s="18">
        <v>0</v>
      </c>
      <c r="M837" s="18">
        <v>0</v>
      </c>
      <c r="N837" s="133">
        <f t="shared" si="865"/>
        <v>13</v>
      </c>
      <c r="O837" s="19">
        <f t="shared" si="866"/>
        <v>1.0833333333333333</v>
      </c>
      <c r="P837" s="8"/>
      <c r="Q837" s="8"/>
      <c r="R837" s="8"/>
      <c r="S837" s="8"/>
      <c r="T837" s="8"/>
      <c r="U837" s="8"/>
      <c r="V837" s="8"/>
      <c r="W837" s="8"/>
      <c r="X837" s="8"/>
      <c r="Y837" s="8"/>
      <c r="Z837" s="8"/>
    </row>
    <row r="838" spans="1:26" s="9" customFormat="1" ht="15.75">
      <c r="A838" s="179" t="s">
        <v>22</v>
      </c>
      <c r="B838" s="65">
        <v>0</v>
      </c>
      <c r="C838" s="65">
        <v>0</v>
      </c>
      <c r="D838" s="65">
        <v>0</v>
      </c>
      <c r="E838" s="65">
        <v>0</v>
      </c>
      <c r="F838" s="65">
        <v>0</v>
      </c>
      <c r="G838" s="65">
        <v>0</v>
      </c>
      <c r="H838" s="65">
        <v>0</v>
      </c>
      <c r="I838" s="65">
        <v>0</v>
      </c>
      <c r="J838" s="65">
        <v>0</v>
      </c>
      <c r="K838" s="65">
        <v>0</v>
      </c>
      <c r="L838" s="65">
        <v>0</v>
      </c>
      <c r="M838" s="65">
        <v>0</v>
      </c>
      <c r="N838" s="143">
        <f t="shared" si="865"/>
        <v>0</v>
      </c>
      <c r="O838" s="66">
        <f t="shared" si="866"/>
        <v>0</v>
      </c>
      <c r="P838" s="8"/>
      <c r="Q838" s="8"/>
      <c r="R838" s="8"/>
      <c r="S838" s="8"/>
      <c r="T838" s="8"/>
      <c r="U838" s="8"/>
      <c r="V838" s="8"/>
      <c r="W838" s="8"/>
      <c r="X838" s="8"/>
      <c r="Y838" s="8"/>
      <c r="Z838" s="8"/>
    </row>
    <row r="839" spans="1:26" s="9" customFormat="1" ht="15.75">
      <c r="A839" s="495" t="s">
        <v>21</v>
      </c>
      <c r="B839" s="496">
        <f t="shared" ref="B839:G839" si="867">SUM(B835:B838)</f>
        <v>22</v>
      </c>
      <c r="C839" s="496">
        <f t="shared" si="867"/>
        <v>41</v>
      </c>
      <c r="D839" s="496">
        <f t="shared" si="867"/>
        <v>14</v>
      </c>
      <c r="E839" s="496">
        <f t="shared" si="867"/>
        <v>1</v>
      </c>
      <c r="F839" s="496">
        <f t="shared" si="867"/>
        <v>25</v>
      </c>
      <c r="G839" s="496">
        <f t="shared" si="867"/>
        <v>32</v>
      </c>
      <c r="H839" s="496">
        <f t="shared" ref="H839:I839" si="868">SUM(H835:H838)</f>
        <v>19</v>
      </c>
      <c r="I839" s="496">
        <f t="shared" si="868"/>
        <v>32</v>
      </c>
      <c r="J839" s="496">
        <f t="shared" ref="J839:K839" si="869">SUM(J835:J838)</f>
        <v>21</v>
      </c>
      <c r="K839" s="496">
        <f t="shared" si="869"/>
        <v>14</v>
      </c>
      <c r="L839" s="496">
        <f t="shared" ref="L839:M839" si="870">SUM(L835:L838)</f>
        <v>19</v>
      </c>
      <c r="M839" s="496">
        <f t="shared" si="870"/>
        <v>28</v>
      </c>
      <c r="N839" s="497">
        <f>SUM(N835:N838)</f>
        <v>268</v>
      </c>
      <c r="O839" s="498">
        <f>SUM(O835:O838)</f>
        <v>22.333333333333332</v>
      </c>
      <c r="P839" s="8"/>
      <c r="Q839" s="8"/>
      <c r="R839" s="8"/>
      <c r="S839" s="8"/>
      <c r="T839" s="8"/>
      <c r="U839" s="8"/>
      <c r="V839" s="8"/>
      <c r="W839" s="8"/>
      <c r="X839" s="8"/>
      <c r="Y839" s="8"/>
      <c r="Z839" s="8"/>
    </row>
    <row r="840" spans="1:26" s="9" customFormat="1" ht="15.75">
      <c r="A840" s="499" t="s">
        <v>112</v>
      </c>
      <c r="B840" s="500">
        <f t="shared" ref="B840:G840" si="871">IF(B839=0,"",B839/B$1676)</f>
        <v>0.70967741935483875</v>
      </c>
      <c r="C840" s="500">
        <f t="shared" si="871"/>
        <v>1.4642857142857142</v>
      </c>
      <c r="D840" s="500">
        <f t="shared" si="871"/>
        <v>0.45161290322580644</v>
      </c>
      <c r="E840" s="500">
        <f t="shared" si="871"/>
        <v>3.3333333333333333E-2</v>
      </c>
      <c r="F840" s="500">
        <f t="shared" si="871"/>
        <v>0.80645161290322576</v>
      </c>
      <c r="G840" s="500">
        <f t="shared" si="871"/>
        <v>1.0666666666666667</v>
      </c>
      <c r="H840" s="500">
        <f t="shared" ref="H840:I840" si="872">IF(H839=0,"",H839/H$1676)</f>
        <v>0.61290322580645162</v>
      </c>
      <c r="I840" s="500">
        <f t="shared" si="872"/>
        <v>1.032258064516129</v>
      </c>
      <c r="J840" s="500">
        <f t="shared" ref="J840:K840" si="873">IF(J839=0,"",J839/J$1676)</f>
        <v>0.7</v>
      </c>
      <c r="K840" s="500">
        <f t="shared" si="873"/>
        <v>0.45161290322580644</v>
      </c>
      <c r="L840" s="500">
        <f t="shared" ref="L840:M840" si="874">IF(L839=0,"",L839/L$1676)</f>
        <v>0.6333333333333333</v>
      </c>
      <c r="M840" s="500">
        <f t="shared" si="874"/>
        <v>0.90322580645161288</v>
      </c>
      <c r="N840" s="501">
        <f>SUM(B840:M840)</f>
        <v>8.8653609831029172</v>
      </c>
      <c r="O840" s="502">
        <f>IF(N840=0,0,AVERAGE(B840:M840))</f>
        <v>0.73878008192524314</v>
      </c>
      <c r="P840" s="8"/>
      <c r="Q840" s="8"/>
      <c r="R840" s="8"/>
      <c r="S840" s="8"/>
      <c r="T840" s="8"/>
      <c r="U840" s="8"/>
      <c r="V840" s="8"/>
      <c r="W840" s="8"/>
      <c r="X840" s="8"/>
      <c r="Y840" s="8"/>
      <c r="Z840" s="8"/>
    </row>
    <row r="841" spans="1:26" s="9" customFormat="1" ht="15.75">
      <c r="A841" s="486"/>
      <c r="B841" s="487"/>
      <c r="C841" s="487"/>
      <c r="D841" s="487"/>
      <c r="E841" s="488"/>
      <c r="F841" s="488"/>
      <c r="G841" s="488"/>
      <c r="H841" s="488"/>
      <c r="I841" s="488"/>
      <c r="J841" s="488"/>
      <c r="K841" s="488"/>
      <c r="L841" s="488"/>
      <c r="M841" s="488"/>
      <c r="N841" s="489"/>
      <c r="O841" s="125"/>
      <c r="P841" s="8"/>
      <c r="Q841" s="8"/>
      <c r="R841" s="8"/>
      <c r="S841" s="8"/>
      <c r="T841" s="8"/>
      <c r="U841" s="8"/>
      <c r="V841" s="8"/>
      <c r="W841" s="8"/>
      <c r="X841" s="8"/>
      <c r="Y841" s="8"/>
      <c r="Z841" s="8"/>
    </row>
    <row r="842" spans="1:26" s="9" customFormat="1" ht="15.75">
      <c r="A842" s="459" t="s">
        <v>735</v>
      </c>
      <c r="B842" s="475"/>
      <c r="C842" s="475"/>
      <c r="D842" s="475"/>
      <c r="E842" s="475"/>
      <c r="F842" s="475"/>
      <c r="G842" s="475"/>
      <c r="H842" s="475"/>
      <c r="I842" s="475"/>
      <c r="J842" s="475"/>
      <c r="K842" s="475"/>
      <c r="L842" s="475"/>
      <c r="M842" s="475"/>
      <c r="N842" s="476"/>
      <c r="O842" s="477"/>
      <c r="P842" s="8"/>
      <c r="Q842" s="8"/>
      <c r="R842" s="8"/>
      <c r="S842" s="8"/>
      <c r="T842" s="8"/>
      <c r="U842" s="8"/>
      <c r="V842" s="8"/>
      <c r="W842" s="8"/>
      <c r="X842" s="8"/>
      <c r="Y842" s="8"/>
      <c r="Z842" s="8"/>
    </row>
    <row r="843" spans="1:26" s="9" customFormat="1" ht="15.75">
      <c r="A843" s="71" t="s">
        <v>733</v>
      </c>
      <c r="B843" s="474"/>
      <c r="C843" s="474"/>
      <c r="D843" s="474"/>
      <c r="E843" s="474"/>
      <c r="F843" s="474"/>
      <c r="G843" s="474"/>
      <c r="H843" s="474"/>
      <c r="I843" s="474"/>
      <c r="J843" s="474"/>
      <c r="K843" s="474"/>
      <c r="L843" s="474"/>
      <c r="M843" s="474"/>
      <c r="N843" s="145"/>
      <c r="O843" s="247"/>
      <c r="P843" s="8"/>
      <c r="Q843" s="8"/>
      <c r="R843" s="8"/>
      <c r="S843" s="8"/>
      <c r="T843" s="8"/>
      <c r="U843" s="8"/>
      <c r="V843" s="8"/>
      <c r="W843" s="8"/>
      <c r="X843" s="8"/>
      <c r="Y843" s="8"/>
      <c r="Z843" s="8"/>
    </row>
    <row r="844" spans="1:26" s="9" customFormat="1" ht="15.75">
      <c r="A844" s="37" t="s">
        <v>18</v>
      </c>
      <c r="B844" s="18">
        <v>0</v>
      </c>
      <c r="C844" s="18">
        <v>0</v>
      </c>
      <c r="D844" s="18">
        <v>0</v>
      </c>
      <c r="E844" s="18">
        <v>0</v>
      </c>
      <c r="F844" s="18">
        <v>0</v>
      </c>
      <c r="G844" s="18">
        <v>0</v>
      </c>
      <c r="H844" s="18">
        <v>0</v>
      </c>
      <c r="I844" s="18">
        <v>0</v>
      </c>
      <c r="J844" s="18">
        <v>0</v>
      </c>
      <c r="K844" s="18">
        <v>0</v>
      </c>
      <c r="L844" s="18">
        <v>0</v>
      </c>
      <c r="M844" s="18">
        <v>0</v>
      </c>
      <c r="N844" s="133">
        <f>SUM(B844:M844)</f>
        <v>0</v>
      </c>
      <c r="O844" s="19">
        <f>IF(N844=0,0,AVERAGE(B844:M844))</f>
        <v>0</v>
      </c>
      <c r="P844" s="8"/>
      <c r="Q844" s="8"/>
      <c r="R844" s="8"/>
      <c r="S844" s="8"/>
      <c r="T844" s="8"/>
      <c r="U844" s="8"/>
      <c r="V844" s="8"/>
      <c r="W844" s="8"/>
      <c r="X844" s="8"/>
      <c r="Y844" s="8"/>
      <c r="Z844" s="8"/>
    </row>
    <row r="845" spans="1:26" s="9" customFormat="1" ht="15.75">
      <c r="A845" s="37" t="s">
        <v>19</v>
      </c>
      <c r="B845" s="18">
        <v>0</v>
      </c>
      <c r="C845" s="18">
        <v>0</v>
      </c>
      <c r="D845" s="18">
        <v>0</v>
      </c>
      <c r="E845" s="18">
        <v>0</v>
      </c>
      <c r="F845" s="18">
        <v>0</v>
      </c>
      <c r="G845" s="18">
        <v>0</v>
      </c>
      <c r="H845" s="18">
        <v>0</v>
      </c>
      <c r="I845" s="18">
        <v>0</v>
      </c>
      <c r="J845" s="18">
        <v>0</v>
      </c>
      <c r="K845" s="18">
        <v>0</v>
      </c>
      <c r="L845" s="18">
        <v>0</v>
      </c>
      <c r="M845" s="18">
        <v>0</v>
      </c>
      <c r="N845" s="133">
        <f>SUM(B845:M845)</f>
        <v>0</v>
      </c>
      <c r="O845" s="19">
        <f>IF(N845=0,0,AVERAGE(B845:M845))</f>
        <v>0</v>
      </c>
      <c r="P845" s="8"/>
      <c r="Q845" s="8"/>
      <c r="R845" s="8"/>
      <c r="S845" s="8"/>
      <c r="T845" s="8"/>
      <c r="U845" s="8"/>
      <c r="V845" s="8"/>
      <c r="W845" s="8"/>
      <c r="X845" s="8"/>
      <c r="Y845" s="8"/>
      <c r="Z845" s="8"/>
    </row>
    <row r="846" spans="1:26" s="9" customFormat="1" ht="15.75">
      <c r="A846" s="37" t="s">
        <v>20</v>
      </c>
      <c r="B846" s="18">
        <v>0</v>
      </c>
      <c r="C846" s="18">
        <v>0</v>
      </c>
      <c r="D846" s="18">
        <v>0</v>
      </c>
      <c r="E846" s="18">
        <v>0</v>
      </c>
      <c r="F846" s="18">
        <v>0</v>
      </c>
      <c r="G846" s="18">
        <v>0</v>
      </c>
      <c r="H846" s="18">
        <v>0</v>
      </c>
      <c r="I846" s="18">
        <v>0</v>
      </c>
      <c r="J846" s="18">
        <v>0</v>
      </c>
      <c r="K846" s="18">
        <v>0</v>
      </c>
      <c r="L846" s="18">
        <v>0</v>
      </c>
      <c r="M846" s="18">
        <v>0</v>
      </c>
      <c r="N846" s="133">
        <f>SUM(B846:M846)</f>
        <v>0</v>
      </c>
      <c r="O846" s="19">
        <f>IF(N846=0,0,AVERAGE(B846:M846))</f>
        <v>0</v>
      </c>
      <c r="P846" s="8"/>
      <c r="Q846" s="8"/>
      <c r="R846" s="8"/>
      <c r="S846" s="8"/>
      <c r="T846" s="8"/>
      <c r="U846" s="8"/>
      <c r="V846" s="8"/>
      <c r="W846" s="8"/>
      <c r="X846" s="8"/>
      <c r="Y846" s="8"/>
      <c r="Z846" s="8"/>
    </row>
    <row r="847" spans="1:26" s="9" customFormat="1" ht="15.75">
      <c r="A847" s="56" t="s">
        <v>21</v>
      </c>
      <c r="B847" s="21">
        <f t="shared" ref="B847:C847" si="875">SUM(B844:B846)</f>
        <v>0</v>
      </c>
      <c r="C847" s="21">
        <f t="shared" si="875"/>
        <v>0</v>
      </c>
      <c r="D847" s="21">
        <f t="shared" ref="D847:E847" si="876">SUM(D844:D846)</f>
        <v>0</v>
      </c>
      <c r="E847" s="21">
        <f t="shared" si="876"/>
        <v>0</v>
      </c>
      <c r="F847" s="21">
        <f t="shared" ref="F847:G847" si="877">SUM(F844:F846)</f>
        <v>0</v>
      </c>
      <c r="G847" s="21">
        <f t="shared" si="877"/>
        <v>0</v>
      </c>
      <c r="H847" s="21">
        <f t="shared" ref="H847:I847" si="878">SUM(H844:H846)</f>
        <v>0</v>
      </c>
      <c r="I847" s="21">
        <f t="shared" si="878"/>
        <v>0</v>
      </c>
      <c r="J847" s="21">
        <f t="shared" ref="J847:K847" si="879">SUM(J844:J846)</f>
        <v>0</v>
      </c>
      <c r="K847" s="21">
        <f t="shared" si="879"/>
        <v>0</v>
      </c>
      <c r="L847" s="21">
        <f t="shared" ref="L847:M847" si="880">SUM(L844:L846)</f>
        <v>0</v>
      </c>
      <c r="M847" s="21">
        <f t="shared" si="880"/>
        <v>0</v>
      </c>
      <c r="N847" s="128">
        <f>SUM(N844:N846)</f>
        <v>0</v>
      </c>
      <c r="O847" s="22">
        <f>SUM(O844:O846)</f>
        <v>0</v>
      </c>
      <c r="P847" s="8"/>
      <c r="Q847" s="8"/>
      <c r="R847" s="8"/>
      <c r="S847" s="8"/>
      <c r="T847" s="8"/>
      <c r="U847" s="8"/>
      <c r="V847" s="8"/>
      <c r="W847" s="8"/>
      <c r="X847" s="8"/>
      <c r="Y847" s="8"/>
      <c r="Z847" s="8"/>
    </row>
    <row r="848" spans="1:26" s="9" customFormat="1" ht="15.75">
      <c r="A848" s="56" t="s">
        <v>112</v>
      </c>
      <c r="B848" s="22" t="s">
        <v>44</v>
      </c>
      <c r="C848" s="22" t="s">
        <v>44</v>
      </c>
      <c r="D848" s="22" t="s">
        <v>44</v>
      </c>
      <c r="E848" s="22" t="s">
        <v>44</v>
      </c>
      <c r="F848" s="22" t="s">
        <v>44</v>
      </c>
      <c r="G848" s="22" t="s">
        <v>44</v>
      </c>
      <c r="H848" s="22" t="s">
        <v>44</v>
      </c>
      <c r="I848" s="22" t="s">
        <v>44</v>
      </c>
      <c r="J848" s="22" t="s">
        <v>44</v>
      </c>
      <c r="K848" s="22" t="s">
        <v>44</v>
      </c>
      <c r="L848" s="22" t="s">
        <v>44</v>
      </c>
      <c r="M848" s="22" t="s">
        <v>44</v>
      </c>
      <c r="N848" s="128">
        <f>SUM(B848:M848)</f>
        <v>0</v>
      </c>
      <c r="O848" s="22">
        <f>IF(N848=0,0,AVERAGE(B848:M848))</f>
        <v>0</v>
      </c>
      <c r="P848" s="8"/>
      <c r="Q848" s="8"/>
      <c r="R848" s="8"/>
      <c r="S848" s="8"/>
      <c r="T848" s="8"/>
      <c r="U848" s="8"/>
      <c r="V848" s="8"/>
      <c r="W848" s="8"/>
      <c r="X848" s="8"/>
      <c r="Y848" s="8"/>
      <c r="Z848" s="8"/>
    </row>
    <row r="849" spans="1:26" s="9" customFormat="1" ht="15.75">
      <c r="A849" s="82"/>
      <c r="B849" s="83"/>
      <c r="C849" s="83"/>
      <c r="D849" s="83"/>
      <c r="E849" s="83"/>
      <c r="F849" s="83"/>
      <c r="G849" s="83"/>
      <c r="H849" s="83"/>
      <c r="I849" s="83"/>
      <c r="J849" s="83"/>
      <c r="K849" s="83"/>
      <c r="L849" s="83"/>
      <c r="M849" s="83"/>
      <c r="N849" s="148"/>
      <c r="O849" s="84"/>
      <c r="P849" s="8"/>
      <c r="Q849" s="8"/>
      <c r="R849" s="8"/>
      <c r="S849" s="8"/>
      <c r="T849" s="8"/>
      <c r="U849" s="8"/>
      <c r="V849" s="8"/>
      <c r="W849" s="8"/>
      <c r="X849" s="8"/>
      <c r="Y849" s="8"/>
      <c r="Z849" s="8"/>
    </row>
    <row r="850" spans="1:26" s="9" customFormat="1" ht="15.75">
      <c r="A850" s="60" t="s">
        <v>734</v>
      </c>
      <c r="B850" s="15"/>
      <c r="C850" s="15"/>
      <c r="D850" s="15"/>
      <c r="E850" s="15"/>
      <c r="F850" s="15"/>
      <c r="G850" s="15"/>
      <c r="H850" s="15"/>
      <c r="I850" s="15"/>
      <c r="J850" s="15"/>
      <c r="K850" s="15"/>
      <c r="L850" s="15"/>
      <c r="M850" s="15"/>
      <c r="N850" s="132"/>
      <c r="O850" s="16"/>
      <c r="P850" s="8"/>
      <c r="Q850" s="8"/>
      <c r="R850" s="8"/>
      <c r="S850" s="8"/>
      <c r="T850" s="8"/>
      <c r="U850" s="8"/>
      <c r="V850" s="8"/>
      <c r="W850" s="8"/>
      <c r="X850" s="8"/>
      <c r="Y850" s="8"/>
      <c r="Z850" s="8"/>
    </row>
    <row r="851" spans="1:26" s="9" customFormat="1" ht="15.75">
      <c r="A851" s="34" t="s">
        <v>114</v>
      </c>
      <c r="B851" s="18">
        <v>5</v>
      </c>
      <c r="C851" s="18">
        <v>12</v>
      </c>
      <c r="D851" s="18">
        <v>3</v>
      </c>
      <c r="E851" s="18">
        <v>0</v>
      </c>
      <c r="F851" s="18">
        <v>0</v>
      </c>
      <c r="G851" s="18">
        <v>13</v>
      </c>
      <c r="H851" s="18">
        <v>12</v>
      </c>
      <c r="I851" s="18">
        <v>11</v>
      </c>
      <c r="J851" s="18">
        <v>6</v>
      </c>
      <c r="K851" s="18">
        <v>3</v>
      </c>
      <c r="L851" s="18">
        <v>9</v>
      </c>
      <c r="M851" s="18">
        <v>13</v>
      </c>
      <c r="N851" s="133">
        <f>SUM(B851:M851)</f>
        <v>87</v>
      </c>
      <c r="O851" s="19">
        <f>IF(N851=0,0,AVERAGE(B851:M851))</f>
        <v>7.25</v>
      </c>
      <c r="P851" s="8"/>
      <c r="Q851" s="8"/>
      <c r="R851" s="8"/>
      <c r="S851" s="8"/>
      <c r="T851" s="8"/>
      <c r="U851" s="8"/>
      <c r="V851" s="8"/>
      <c r="W851" s="8"/>
      <c r="X851" s="8"/>
      <c r="Y851" s="8"/>
      <c r="Z851" s="8"/>
    </row>
    <row r="852" spans="1:26" s="9" customFormat="1" ht="15.75">
      <c r="A852" s="56" t="s">
        <v>21</v>
      </c>
      <c r="B852" s="21">
        <f t="shared" ref="B852:C852" si="881">SUM(B851)</f>
        <v>5</v>
      </c>
      <c r="C852" s="21">
        <f t="shared" si="881"/>
        <v>12</v>
      </c>
      <c r="D852" s="21">
        <f t="shared" ref="D852:E852" si="882">SUM(D851)</f>
        <v>3</v>
      </c>
      <c r="E852" s="21">
        <f t="shared" si="882"/>
        <v>0</v>
      </c>
      <c r="F852" s="21">
        <f t="shared" ref="F852:G852" si="883">SUM(F851)</f>
        <v>0</v>
      </c>
      <c r="G852" s="21">
        <f t="shared" si="883"/>
        <v>13</v>
      </c>
      <c r="H852" s="21">
        <f t="shared" ref="H852:I852" si="884">SUM(H851)</f>
        <v>12</v>
      </c>
      <c r="I852" s="21">
        <f t="shared" si="884"/>
        <v>11</v>
      </c>
      <c r="J852" s="21">
        <f t="shared" ref="J852:K852" si="885">SUM(J851)</f>
        <v>6</v>
      </c>
      <c r="K852" s="21">
        <f t="shared" si="885"/>
        <v>3</v>
      </c>
      <c r="L852" s="21">
        <f t="shared" ref="L852:M852" si="886">SUM(L851)</f>
        <v>9</v>
      </c>
      <c r="M852" s="21">
        <f t="shared" si="886"/>
        <v>13</v>
      </c>
      <c r="N852" s="128">
        <f>SUM(N851)</f>
        <v>87</v>
      </c>
      <c r="O852" s="22">
        <f>SUM(O851)</f>
        <v>7.25</v>
      </c>
      <c r="P852" s="8"/>
      <c r="Q852" s="8"/>
      <c r="R852" s="8"/>
      <c r="S852" s="8"/>
      <c r="T852" s="8"/>
      <c r="U852" s="8"/>
      <c r="V852" s="8"/>
      <c r="W852" s="8"/>
      <c r="X852" s="8"/>
      <c r="Y852" s="8"/>
      <c r="Z852" s="8"/>
    </row>
    <row r="853" spans="1:26" s="9" customFormat="1" ht="15.75">
      <c r="A853" s="56" t="s">
        <v>112</v>
      </c>
      <c r="B853" s="22">
        <f>IF(B852=0,"",B852/B$1676)</f>
        <v>0.16129032258064516</v>
      </c>
      <c r="C853" s="22">
        <f>IF(C852=0,"",C852/C$1676)</f>
        <v>0.42857142857142855</v>
      </c>
      <c r="D853" s="22">
        <f>IF(D852=0,"",D852/D$1676)</f>
        <v>9.6774193548387094E-2</v>
      </c>
      <c r="E853" s="22" t="s">
        <v>44</v>
      </c>
      <c r="F853" s="22" t="s">
        <v>44</v>
      </c>
      <c r="G853" s="22">
        <f t="shared" ref="G853:L853" si="887">IF(G852=0,"",G852/G$1676)</f>
        <v>0.43333333333333335</v>
      </c>
      <c r="H853" s="22">
        <f t="shared" si="887"/>
        <v>0.38709677419354838</v>
      </c>
      <c r="I853" s="22">
        <f t="shared" si="887"/>
        <v>0.35483870967741937</v>
      </c>
      <c r="J853" s="22">
        <f t="shared" si="887"/>
        <v>0.2</v>
      </c>
      <c r="K853" s="22">
        <f t="shared" si="887"/>
        <v>9.6774193548387094E-2</v>
      </c>
      <c r="L853" s="22">
        <f t="shared" si="887"/>
        <v>0.3</v>
      </c>
      <c r="M853" s="22">
        <f t="shared" ref="M853" si="888">IF(M852=0,"",M852/M$1676)</f>
        <v>0.41935483870967744</v>
      </c>
      <c r="N853" s="128">
        <f>SUM(B853:M853)</f>
        <v>2.8780337941628265</v>
      </c>
      <c r="O853" s="22">
        <f>IF(N853=0,0,AVERAGE(B853:M853))</f>
        <v>0.28780337941628265</v>
      </c>
      <c r="P853" s="8"/>
      <c r="Q853" s="8"/>
      <c r="R853" s="8"/>
      <c r="S853" s="8"/>
      <c r="T853" s="8"/>
      <c r="U853" s="8"/>
      <c r="V853" s="8"/>
      <c r="W853" s="8"/>
      <c r="X853" s="8"/>
      <c r="Y853" s="8"/>
      <c r="Z853" s="8"/>
    </row>
    <row r="854" spans="1:26" s="9" customFormat="1" ht="15.75">
      <c r="A854" s="82"/>
      <c r="B854" s="83"/>
      <c r="C854" s="83"/>
      <c r="D854" s="83"/>
      <c r="E854" s="83"/>
      <c r="F854" s="83"/>
      <c r="G854" s="83"/>
      <c r="H854" s="83"/>
      <c r="I854" s="83"/>
      <c r="J854" s="83"/>
      <c r="K854" s="83"/>
      <c r="L854" s="83"/>
      <c r="M854" s="83"/>
      <c r="N854" s="148"/>
      <c r="O854" s="84"/>
      <c r="P854" s="8"/>
      <c r="Q854" s="8"/>
      <c r="R854" s="8"/>
      <c r="S854" s="8"/>
      <c r="T854" s="8"/>
      <c r="U854" s="8"/>
      <c r="V854" s="8"/>
      <c r="W854" s="8"/>
      <c r="X854" s="8"/>
      <c r="Y854" s="8"/>
      <c r="Z854" s="8"/>
    </row>
    <row r="855" spans="1:26" s="9" customFormat="1" ht="15.75">
      <c r="A855" s="90" t="s">
        <v>153</v>
      </c>
      <c r="B855" s="86">
        <f t="shared" ref="B855:C855" si="889">B847</f>
        <v>0</v>
      </c>
      <c r="C855" s="86">
        <f t="shared" si="889"/>
        <v>0</v>
      </c>
      <c r="D855" s="86">
        <f t="shared" ref="D855:E855" si="890">D847</f>
        <v>0</v>
      </c>
      <c r="E855" s="86">
        <f t="shared" si="890"/>
        <v>0</v>
      </c>
      <c r="F855" s="86">
        <f t="shared" ref="F855:G855" si="891">F847</f>
        <v>0</v>
      </c>
      <c r="G855" s="86">
        <f t="shared" si="891"/>
        <v>0</v>
      </c>
      <c r="H855" s="86">
        <f t="shared" ref="H855:I855" si="892">H847</f>
        <v>0</v>
      </c>
      <c r="I855" s="86">
        <f t="shared" si="892"/>
        <v>0</v>
      </c>
      <c r="J855" s="86">
        <f t="shared" ref="J855:K855" si="893">J847</f>
        <v>0</v>
      </c>
      <c r="K855" s="86">
        <f t="shared" si="893"/>
        <v>0</v>
      </c>
      <c r="L855" s="86">
        <f t="shared" ref="L855:M855" si="894">L847</f>
        <v>0</v>
      </c>
      <c r="M855" s="86">
        <f t="shared" si="894"/>
        <v>0</v>
      </c>
      <c r="N855" s="133">
        <f>SUM(B855:M855)</f>
        <v>0</v>
      </c>
      <c r="O855" s="19">
        <f>IF(N855=0,0,AVERAGE(B855:M855))</f>
        <v>0</v>
      </c>
      <c r="P855" s="8"/>
      <c r="Q855" s="8"/>
      <c r="R855" s="8"/>
      <c r="S855" s="8"/>
      <c r="T855" s="8"/>
      <c r="U855" s="8"/>
      <c r="V855" s="8"/>
      <c r="W855" s="8"/>
      <c r="X855" s="8"/>
      <c r="Y855" s="8"/>
      <c r="Z855" s="8"/>
    </row>
    <row r="856" spans="1:26" s="9" customFormat="1" ht="15.75">
      <c r="A856" s="503" t="s">
        <v>154</v>
      </c>
      <c r="B856" s="504">
        <f t="shared" ref="B856:C856" si="895">B852</f>
        <v>5</v>
      </c>
      <c r="C856" s="504">
        <f t="shared" si="895"/>
        <v>12</v>
      </c>
      <c r="D856" s="504">
        <f t="shared" ref="D856:E856" si="896">D852</f>
        <v>3</v>
      </c>
      <c r="E856" s="504">
        <f t="shared" si="896"/>
        <v>0</v>
      </c>
      <c r="F856" s="504">
        <f t="shared" ref="F856:G856" si="897">F852</f>
        <v>0</v>
      </c>
      <c r="G856" s="504">
        <f t="shared" si="897"/>
        <v>13</v>
      </c>
      <c r="H856" s="504">
        <f t="shared" ref="H856:I856" si="898">H852</f>
        <v>12</v>
      </c>
      <c r="I856" s="504">
        <f t="shared" si="898"/>
        <v>11</v>
      </c>
      <c r="J856" s="504">
        <f t="shared" ref="J856:K856" si="899">J852</f>
        <v>6</v>
      </c>
      <c r="K856" s="504">
        <f t="shared" si="899"/>
        <v>3</v>
      </c>
      <c r="L856" s="504">
        <f t="shared" ref="L856:M856" si="900">L852</f>
        <v>9</v>
      </c>
      <c r="M856" s="504">
        <f t="shared" si="900"/>
        <v>13</v>
      </c>
      <c r="N856" s="143">
        <f>SUM(B856:M856)</f>
        <v>87</v>
      </c>
      <c r="O856" s="66">
        <f>IF(N856=0,0,AVERAGE(B856:M856))</f>
        <v>7.25</v>
      </c>
      <c r="P856" s="8"/>
      <c r="Q856" s="8"/>
      <c r="R856" s="8"/>
      <c r="S856" s="8"/>
      <c r="T856" s="8"/>
      <c r="U856" s="8"/>
      <c r="V856" s="8"/>
      <c r="W856" s="8"/>
      <c r="X856" s="8"/>
      <c r="Y856" s="8"/>
      <c r="Z856" s="8"/>
    </row>
    <row r="857" spans="1:26" s="9" customFormat="1" ht="15.75">
      <c r="A857" s="505" t="s">
        <v>155</v>
      </c>
      <c r="B857" s="506">
        <f t="shared" ref="B857:C857" si="901">SUM(B855:B856)</f>
        <v>5</v>
      </c>
      <c r="C857" s="506">
        <f t="shared" si="901"/>
        <v>12</v>
      </c>
      <c r="D857" s="506">
        <f t="shared" ref="D857:E857" si="902">SUM(D855:D856)</f>
        <v>3</v>
      </c>
      <c r="E857" s="506">
        <f t="shared" si="902"/>
        <v>0</v>
      </c>
      <c r="F857" s="506">
        <f t="shared" ref="F857:G857" si="903">SUM(F855:F856)</f>
        <v>0</v>
      </c>
      <c r="G857" s="506">
        <f t="shared" si="903"/>
        <v>13</v>
      </c>
      <c r="H857" s="506">
        <f t="shared" ref="H857:I857" si="904">SUM(H855:H856)</f>
        <v>12</v>
      </c>
      <c r="I857" s="506">
        <f t="shared" si="904"/>
        <v>11</v>
      </c>
      <c r="J857" s="506">
        <f t="shared" ref="J857:K857" si="905">SUM(J855:J856)</f>
        <v>6</v>
      </c>
      <c r="K857" s="506">
        <f t="shared" si="905"/>
        <v>3</v>
      </c>
      <c r="L857" s="506">
        <f t="shared" ref="L857:M857" si="906">SUM(L855:L856)</f>
        <v>9</v>
      </c>
      <c r="M857" s="506">
        <f t="shared" si="906"/>
        <v>13</v>
      </c>
      <c r="N857" s="507">
        <f>SUM(N855:N856)</f>
        <v>87</v>
      </c>
      <c r="O857" s="508">
        <f>SUM(O855:O856)</f>
        <v>7.25</v>
      </c>
      <c r="P857" s="8"/>
      <c r="Q857" s="8"/>
      <c r="R857" s="8"/>
      <c r="S857" s="8"/>
      <c r="T857" s="8"/>
      <c r="U857" s="8"/>
      <c r="V857" s="8"/>
      <c r="W857" s="8"/>
      <c r="X857" s="8"/>
      <c r="Y857" s="8"/>
      <c r="Z857" s="8"/>
    </row>
    <row r="858" spans="1:26" s="9" customFormat="1" ht="15.75">
      <c r="A858" s="486"/>
      <c r="B858" s="487"/>
      <c r="C858" s="487"/>
      <c r="D858" s="487"/>
      <c r="E858" s="488"/>
      <c r="F858" s="488"/>
      <c r="G858" s="488"/>
      <c r="H858" s="488"/>
      <c r="I858" s="488"/>
      <c r="J858" s="488"/>
      <c r="K858" s="488"/>
      <c r="L858" s="488"/>
      <c r="M858" s="488"/>
      <c r="N858" s="489"/>
      <c r="O858" s="125"/>
      <c r="P858" s="8"/>
      <c r="Q858" s="8"/>
      <c r="R858" s="8"/>
      <c r="S858" s="8"/>
      <c r="T858" s="8"/>
      <c r="U858" s="8"/>
      <c r="V858" s="8"/>
      <c r="W858" s="8"/>
      <c r="X858" s="8"/>
      <c r="Y858" s="8"/>
      <c r="Z858" s="8"/>
    </row>
    <row r="859" spans="1:26" s="9" customFormat="1" ht="15.75">
      <c r="A859" s="560" t="s">
        <v>746</v>
      </c>
      <c r="B859" s="561"/>
      <c r="C859" s="561"/>
      <c r="D859" s="561"/>
      <c r="E859" s="561"/>
      <c r="F859" s="561"/>
      <c r="G859" s="561"/>
      <c r="H859" s="561"/>
      <c r="I859" s="561"/>
      <c r="J859" s="561"/>
      <c r="K859" s="561"/>
      <c r="L859" s="561"/>
      <c r="M859" s="561"/>
      <c r="N859" s="561"/>
      <c r="O859" s="562"/>
      <c r="P859" s="8"/>
      <c r="Q859" s="8"/>
      <c r="R859" s="8"/>
      <c r="S859" s="8"/>
      <c r="T859" s="8"/>
      <c r="U859" s="8"/>
      <c r="V859" s="8"/>
      <c r="W859" s="8"/>
      <c r="X859" s="8"/>
      <c r="Y859" s="8"/>
      <c r="Z859" s="8"/>
    </row>
    <row r="860" spans="1:26" s="9" customFormat="1" ht="15.75">
      <c r="A860" s="71" t="s">
        <v>747</v>
      </c>
      <c r="B860" s="474"/>
      <c r="C860" s="474"/>
      <c r="D860" s="474"/>
      <c r="E860" s="474"/>
      <c r="F860" s="474"/>
      <c r="G860" s="474"/>
      <c r="H860" s="474"/>
      <c r="I860" s="474"/>
      <c r="J860" s="474"/>
      <c r="K860" s="474"/>
      <c r="L860" s="474"/>
      <c r="M860" s="474"/>
      <c r="N860" s="145"/>
      <c r="O860" s="247"/>
      <c r="P860" s="8"/>
      <c r="Q860" s="8"/>
      <c r="R860" s="8"/>
      <c r="S860" s="8"/>
      <c r="T860" s="8"/>
      <c r="U860" s="8"/>
      <c r="V860" s="8"/>
      <c r="W860" s="8"/>
      <c r="X860" s="8"/>
      <c r="Y860" s="8"/>
      <c r="Z860" s="8"/>
    </row>
    <row r="861" spans="1:26" s="9" customFormat="1" ht="15.75">
      <c r="A861" s="37" t="s">
        <v>18</v>
      </c>
      <c r="B861" s="18">
        <v>0</v>
      </c>
      <c r="C861" s="18">
        <v>0</v>
      </c>
      <c r="D861" s="18">
        <v>0</v>
      </c>
      <c r="E861" s="18">
        <v>0</v>
      </c>
      <c r="F861" s="18">
        <v>0</v>
      </c>
      <c r="G861" s="18">
        <v>0</v>
      </c>
      <c r="H861" s="18">
        <v>0</v>
      </c>
      <c r="I861" s="18">
        <v>0</v>
      </c>
      <c r="J861" s="18">
        <v>0</v>
      </c>
      <c r="K861" s="18">
        <v>0</v>
      </c>
      <c r="L861" s="18">
        <v>0</v>
      </c>
      <c r="M861" s="18">
        <v>0</v>
      </c>
      <c r="N861" s="133">
        <f>SUM(B861:M861)</f>
        <v>0</v>
      </c>
      <c r="O861" s="19">
        <f>IF(N861=0,0,AVERAGE(B861:M861))</f>
        <v>0</v>
      </c>
      <c r="P861" s="8"/>
      <c r="Q861" s="8"/>
      <c r="R861" s="8"/>
      <c r="S861" s="8"/>
      <c r="T861" s="8"/>
      <c r="U861" s="8"/>
      <c r="V861" s="8"/>
      <c r="W861" s="8"/>
      <c r="X861" s="8"/>
      <c r="Y861" s="8"/>
      <c r="Z861" s="8"/>
    </row>
    <row r="862" spans="1:26" s="9" customFormat="1" ht="15.75">
      <c r="A862" s="37" t="s">
        <v>19</v>
      </c>
      <c r="B862" s="18">
        <v>0</v>
      </c>
      <c r="C862" s="18">
        <v>0</v>
      </c>
      <c r="D862" s="18">
        <v>0</v>
      </c>
      <c r="E862" s="18">
        <v>0</v>
      </c>
      <c r="F862" s="18">
        <v>0</v>
      </c>
      <c r="G862" s="18">
        <v>0</v>
      </c>
      <c r="H862" s="18">
        <v>0</v>
      </c>
      <c r="I862" s="18">
        <v>0</v>
      </c>
      <c r="J862" s="18">
        <v>0</v>
      </c>
      <c r="K862" s="18">
        <v>0</v>
      </c>
      <c r="L862" s="18">
        <v>0</v>
      </c>
      <c r="M862" s="18">
        <v>0</v>
      </c>
      <c r="N862" s="133">
        <f>SUM(B862:M862)</f>
        <v>0</v>
      </c>
      <c r="O862" s="19">
        <f>IF(N862=0,0,AVERAGE(B862:M862))</f>
        <v>0</v>
      </c>
      <c r="P862" s="8"/>
      <c r="Q862" s="8"/>
      <c r="R862" s="8"/>
      <c r="S862" s="8"/>
      <c r="T862" s="8"/>
      <c r="U862" s="8"/>
      <c r="V862" s="8"/>
      <c r="W862" s="8"/>
      <c r="X862" s="8"/>
      <c r="Y862" s="8"/>
      <c r="Z862" s="8"/>
    </row>
    <row r="863" spans="1:26" s="9" customFormat="1" ht="15.75">
      <c r="A863" s="37" t="s">
        <v>20</v>
      </c>
      <c r="B863" s="18">
        <v>0</v>
      </c>
      <c r="C863" s="18">
        <v>0</v>
      </c>
      <c r="D863" s="18">
        <v>0</v>
      </c>
      <c r="E863" s="18">
        <v>0</v>
      </c>
      <c r="F863" s="18">
        <v>0</v>
      </c>
      <c r="G863" s="18">
        <v>0</v>
      </c>
      <c r="H863" s="18">
        <v>0</v>
      </c>
      <c r="I863" s="18">
        <v>0</v>
      </c>
      <c r="J863" s="18">
        <v>0</v>
      </c>
      <c r="K863" s="18">
        <v>0</v>
      </c>
      <c r="L863" s="18">
        <v>0</v>
      </c>
      <c r="M863" s="18">
        <v>0</v>
      </c>
      <c r="N863" s="133">
        <f>SUM(B863:M863)</f>
        <v>0</v>
      </c>
      <c r="O863" s="19">
        <f>IF(N863=0,0,AVERAGE(B863:M863))</f>
        <v>0</v>
      </c>
      <c r="P863" s="8"/>
      <c r="Q863" s="8"/>
      <c r="R863" s="8"/>
      <c r="S863" s="8"/>
      <c r="T863" s="8"/>
      <c r="U863" s="8"/>
      <c r="V863" s="8"/>
      <c r="W863" s="8"/>
      <c r="X863" s="8"/>
      <c r="Y863" s="8"/>
      <c r="Z863" s="8"/>
    </row>
    <row r="864" spans="1:26" s="9" customFormat="1" ht="15.75">
      <c r="A864" s="56" t="s">
        <v>21</v>
      </c>
      <c r="B864" s="21">
        <f t="shared" ref="B864:C864" si="907">SUM(B861:B863)</f>
        <v>0</v>
      </c>
      <c r="C864" s="21">
        <f t="shared" si="907"/>
        <v>0</v>
      </c>
      <c r="D864" s="21">
        <f t="shared" ref="D864:E864" si="908">SUM(D861:D863)</f>
        <v>0</v>
      </c>
      <c r="E864" s="21">
        <f t="shared" si="908"/>
        <v>0</v>
      </c>
      <c r="F864" s="21">
        <f t="shared" ref="F864:G864" si="909">SUM(F861:F863)</f>
        <v>0</v>
      </c>
      <c r="G864" s="21">
        <f t="shared" si="909"/>
        <v>0</v>
      </c>
      <c r="H864" s="21">
        <f t="shared" ref="H864:I864" si="910">SUM(H861:H863)</f>
        <v>0</v>
      </c>
      <c r="I864" s="21">
        <f t="shared" si="910"/>
        <v>0</v>
      </c>
      <c r="J864" s="21">
        <f t="shared" ref="J864:K864" si="911">SUM(J861:J863)</f>
        <v>0</v>
      </c>
      <c r="K864" s="21">
        <f t="shared" si="911"/>
        <v>0</v>
      </c>
      <c r="L864" s="21">
        <f t="shared" ref="L864:M864" si="912">SUM(L861:L863)</f>
        <v>0</v>
      </c>
      <c r="M864" s="21">
        <f t="shared" si="912"/>
        <v>0</v>
      </c>
      <c r="N864" s="128">
        <f>SUM(N861:N863)</f>
        <v>0</v>
      </c>
      <c r="O864" s="22">
        <f>SUM(O861:O863)</f>
        <v>0</v>
      </c>
      <c r="P864" s="8"/>
      <c r="Q864" s="8"/>
      <c r="R864" s="8"/>
      <c r="S864" s="8"/>
      <c r="T864" s="8"/>
      <c r="U864" s="8"/>
      <c r="V864" s="8"/>
      <c r="W864" s="8"/>
      <c r="X864" s="8"/>
      <c r="Y864" s="8"/>
      <c r="Z864" s="8"/>
    </row>
    <row r="865" spans="1:26" s="9" customFormat="1" ht="15.75">
      <c r="A865" s="56" t="s">
        <v>112</v>
      </c>
      <c r="B865" s="21" t="s">
        <v>44</v>
      </c>
      <c r="C865" s="21" t="s">
        <v>44</v>
      </c>
      <c r="D865" s="21" t="s">
        <v>44</v>
      </c>
      <c r="E865" s="21" t="s">
        <v>44</v>
      </c>
      <c r="F865" s="21" t="s">
        <v>44</v>
      </c>
      <c r="G865" s="21" t="s">
        <v>44</v>
      </c>
      <c r="H865" s="21" t="s">
        <v>44</v>
      </c>
      <c r="I865" s="21" t="s">
        <v>44</v>
      </c>
      <c r="J865" s="21" t="s">
        <v>44</v>
      </c>
      <c r="K865" s="21" t="s">
        <v>44</v>
      </c>
      <c r="L865" s="21" t="s">
        <v>44</v>
      </c>
      <c r="M865" s="21" t="s">
        <v>44</v>
      </c>
      <c r="N865" s="128">
        <f>SUM(B865:M865)</f>
        <v>0</v>
      </c>
      <c r="O865" s="22">
        <f>IF(N865=0,0,AVERAGE(B865:M865))</f>
        <v>0</v>
      </c>
      <c r="P865" s="8"/>
      <c r="Q865" s="8"/>
      <c r="R865" s="8"/>
      <c r="S865" s="8"/>
      <c r="T865" s="8"/>
      <c r="U865" s="8"/>
      <c r="V865" s="8"/>
      <c r="W865" s="8"/>
      <c r="X865" s="8"/>
      <c r="Y865" s="8"/>
      <c r="Z865" s="8"/>
    </row>
    <row r="866" spans="1:26" s="9" customFormat="1" ht="15.75">
      <c r="A866" s="94"/>
      <c r="B866" s="24"/>
      <c r="C866" s="24"/>
      <c r="D866" s="24"/>
      <c r="E866" s="24"/>
      <c r="F866" s="24"/>
      <c r="G866" s="24"/>
      <c r="H866" s="24"/>
      <c r="I866" s="24"/>
      <c r="J866" s="24"/>
      <c r="K866" s="24"/>
      <c r="L866" s="24"/>
      <c r="M866" s="24"/>
      <c r="N866" s="134"/>
      <c r="O866" s="95"/>
      <c r="P866" s="8"/>
      <c r="Q866" s="8"/>
      <c r="R866" s="8"/>
      <c r="S866" s="8"/>
      <c r="T866" s="8"/>
      <c r="U866" s="8"/>
      <c r="V866" s="8"/>
      <c r="W866" s="8"/>
      <c r="X866" s="8"/>
      <c r="Y866" s="8"/>
      <c r="Z866" s="8"/>
    </row>
    <row r="867" spans="1:26" s="9" customFormat="1" ht="15.75">
      <c r="A867" s="60" t="s">
        <v>748</v>
      </c>
      <c r="B867" s="15"/>
      <c r="C867" s="15"/>
      <c r="D867" s="15"/>
      <c r="E867" s="15"/>
      <c r="F867" s="15"/>
      <c r="G867" s="15"/>
      <c r="H867" s="15"/>
      <c r="I867" s="15"/>
      <c r="J867" s="15"/>
      <c r="K867" s="15"/>
      <c r="L867" s="15"/>
      <c r="M867" s="15"/>
      <c r="N867" s="132"/>
      <c r="O867" s="16"/>
      <c r="P867" s="8"/>
      <c r="Q867" s="8"/>
      <c r="R867" s="8"/>
      <c r="S867" s="8"/>
      <c r="T867" s="8"/>
      <c r="U867" s="8"/>
      <c r="V867" s="8"/>
      <c r="W867" s="8"/>
      <c r="X867" s="8"/>
      <c r="Y867" s="8"/>
      <c r="Z867" s="8"/>
    </row>
    <row r="868" spans="1:26" s="9" customFormat="1" ht="15.75">
      <c r="A868" s="97" t="s">
        <v>114</v>
      </c>
      <c r="B868" s="373">
        <v>30</v>
      </c>
      <c r="C868" s="373">
        <v>30</v>
      </c>
      <c r="D868" s="373">
        <v>39</v>
      </c>
      <c r="E868" s="373">
        <v>21</v>
      </c>
      <c r="F868" s="373">
        <v>31</v>
      </c>
      <c r="G868" s="373">
        <v>31</v>
      </c>
      <c r="H868" s="373">
        <v>28</v>
      </c>
      <c r="I868" s="373">
        <v>28</v>
      </c>
      <c r="J868" s="373">
        <v>30</v>
      </c>
      <c r="K868" s="373">
        <v>30</v>
      </c>
      <c r="L868" s="373">
        <v>25</v>
      </c>
      <c r="M868" s="373">
        <v>30</v>
      </c>
      <c r="N868" s="133">
        <f>SUM(B868:M868)</f>
        <v>353</v>
      </c>
      <c r="O868" s="19">
        <f>IF(N868=0,0,AVERAGE(B868:M868))</f>
        <v>29.416666666666668</v>
      </c>
      <c r="P868" s="8"/>
      <c r="Q868" s="8"/>
      <c r="R868" s="8"/>
      <c r="S868" s="8"/>
      <c r="T868" s="8"/>
      <c r="U868" s="8"/>
      <c r="V868" s="8"/>
      <c r="W868" s="8"/>
      <c r="X868" s="8"/>
      <c r="Y868" s="8"/>
      <c r="Z868" s="8"/>
    </row>
    <row r="869" spans="1:26" s="9" customFormat="1" ht="15.75">
      <c r="A869" s="56" t="s">
        <v>21</v>
      </c>
      <c r="B869" s="21">
        <f t="shared" ref="B869:C869" si="913">SUM(B868)</f>
        <v>30</v>
      </c>
      <c r="C869" s="21">
        <f t="shared" si="913"/>
        <v>30</v>
      </c>
      <c r="D869" s="21">
        <f t="shared" ref="D869" si="914">SUM(D868)</f>
        <v>39</v>
      </c>
      <c r="E869" s="21">
        <f t="shared" ref="E869:J869" si="915">SUM(E868)</f>
        <v>21</v>
      </c>
      <c r="F869" s="21">
        <f t="shared" si="915"/>
        <v>31</v>
      </c>
      <c r="G869" s="21">
        <f t="shared" si="915"/>
        <v>31</v>
      </c>
      <c r="H869" s="21">
        <f t="shared" si="915"/>
        <v>28</v>
      </c>
      <c r="I869" s="21">
        <f t="shared" si="915"/>
        <v>28</v>
      </c>
      <c r="J869" s="21">
        <f t="shared" si="915"/>
        <v>30</v>
      </c>
      <c r="K869" s="21">
        <f t="shared" ref="K869:L869" si="916">SUM(K868)</f>
        <v>30</v>
      </c>
      <c r="L869" s="21">
        <f t="shared" si="916"/>
        <v>25</v>
      </c>
      <c r="M869" s="21">
        <f t="shared" ref="M869" si="917">SUM(M868)</f>
        <v>30</v>
      </c>
      <c r="N869" s="128">
        <f>SUM(N868)</f>
        <v>353</v>
      </c>
      <c r="O869" s="22">
        <f>SUM(O868)</f>
        <v>29.416666666666668</v>
      </c>
      <c r="P869" s="8"/>
      <c r="Q869" s="8"/>
      <c r="R869" s="8"/>
      <c r="S869" s="8"/>
      <c r="T869" s="8"/>
      <c r="U869" s="8"/>
      <c r="V869" s="8"/>
      <c r="W869" s="8"/>
      <c r="X869" s="8"/>
      <c r="Y869" s="8"/>
      <c r="Z869" s="8"/>
    </row>
    <row r="870" spans="1:26" s="9" customFormat="1" ht="15.75">
      <c r="A870" s="56" t="s">
        <v>112</v>
      </c>
      <c r="B870" s="22">
        <f t="shared" ref="B870:G870" si="918">IF(B869=0,"",B869/B$1676)</f>
        <v>0.967741935483871</v>
      </c>
      <c r="C870" s="22">
        <f t="shared" si="918"/>
        <v>1.0714285714285714</v>
      </c>
      <c r="D870" s="22">
        <f t="shared" si="918"/>
        <v>1.2580645161290323</v>
      </c>
      <c r="E870" s="22">
        <f t="shared" si="918"/>
        <v>0.7</v>
      </c>
      <c r="F870" s="22">
        <f t="shared" si="918"/>
        <v>1</v>
      </c>
      <c r="G870" s="22">
        <f t="shared" si="918"/>
        <v>1.0333333333333334</v>
      </c>
      <c r="H870" s="22">
        <f t="shared" ref="H870:I870" si="919">IF(H869=0,"",H869/H$1676)</f>
        <v>0.90322580645161288</v>
      </c>
      <c r="I870" s="22">
        <f t="shared" si="919"/>
        <v>0.90322580645161288</v>
      </c>
      <c r="J870" s="22">
        <f t="shared" ref="J870:K870" si="920">IF(J869=0,"",J869/J$1676)</f>
        <v>1</v>
      </c>
      <c r="K870" s="22">
        <f t="shared" si="920"/>
        <v>0.967741935483871</v>
      </c>
      <c r="L870" s="22">
        <f t="shared" ref="L870:M870" si="921">IF(L869=0,"",L869/L$1676)</f>
        <v>0.83333333333333337</v>
      </c>
      <c r="M870" s="22">
        <f t="shared" si="921"/>
        <v>0.967741935483871</v>
      </c>
      <c r="N870" s="128">
        <f>SUM(B870:M870)</f>
        <v>11.605837173579108</v>
      </c>
      <c r="O870" s="22">
        <f>IF(N870=0,0,AVERAGE(B870:M870))</f>
        <v>0.96715309779825898</v>
      </c>
      <c r="P870" s="8"/>
      <c r="Q870" s="8"/>
      <c r="R870" s="8"/>
      <c r="S870" s="8"/>
      <c r="T870" s="8"/>
      <c r="U870" s="8"/>
      <c r="V870" s="8"/>
      <c r="W870" s="8"/>
      <c r="X870" s="8"/>
      <c r="Y870" s="8"/>
      <c r="Z870" s="8"/>
    </row>
    <row r="871" spans="1:26" s="9" customFormat="1" ht="15.75">
      <c r="A871" s="94"/>
      <c r="B871" s="24"/>
      <c r="C871" s="24"/>
      <c r="D871" s="24"/>
      <c r="E871" s="24"/>
      <c r="F871" s="24"/>
      <c r="G871" s="24"/>
      <c r="H871" s="24"/>
      <c r="I871" s="24"/>
      <c r="J871" s="24"/>
      <c r="K871" s="24"/>
      <c r="L871" s="24"/>
      <c r="M871" s="24"/>
      <c r="N871" s="134"/>
      <c r="O871" s="54"/>
      <c r="P871" s="8"/>
      <c r="Q871" s="8"/>
      <c r="R871" s="8"/>
      <c r="S871" s="8"/>
      <c r="T871" s="8"/>
      <c r="U871" s="8"/>
      <c r="V871" s="8"/>
      <c r="W871" s="8"/>
      <c r="X871" s="8"/>
      <c r="Y871" s="8"/>
      <c r="Z871" s="8"/>
    </row>
    <row r="872" spans="1:26" s="9" customFormat="1" ht="15.75">
      <c r="A872" s="85" t="s">
        <v>153</v>
      </c>
      <c r="B872" s="86">
        <f t="shared" ref="B872:C872" si="922">B864</f>
        <v>0</v>
      </c>
      <c r="C872" s="86">
        <f t="shared" si="922"/>
        <v>0</v>
      </c>
      <c r="D872" s="86">
        <f t="shared" ref="D872" si="923">D864</f>
        <v>0</v>
      </c>
      <c r="E872" s="86">
        <f t="shared" ref="E872:J872" si="924">E864</f>
        <v>0</v>
      </c>
      <c r="F872" s="86">
        <f t="shared" si="924"/>
        <v>0</v>
      </c>
      <c r="G872" s="86">
        <f t="shared" si="924"/>
        <v>0</v>
      </c>
      <c r="H872" s="86">
        <f t="shared" si="924"/>
        <v>0</v>
      </c>
      <c r="I872" s="86">
        <f t="shared" si="924"/>
        <v>0</v>
      </c>
      <c r="J872" s="86">
        <f t="shared" si="924"/>
        <v>0</v>
      </c>
      <c r="K872" s="86">
        <f t="shared" ref="K872:L872" si="925">K864</f>
        <v>0</v>
      </c>
      <c r="L872" s="86">
        <f t="shared" si="925"/>
        <v>0</v>
      </c>
      <c r="M872" s="86">
        <f t="shared" ref="M872" si="926">M864</f>
        <v>0</v>
      </c>
      <c r="N872" s="133">
        <f>SUM(B872:M872)</f>
        <v>0</v>
      </c>
      <c r="O872" s="19">
        <f>IF(N872=0,0,AVERAGE(B872:M872))</f>
        <v>0</v>
      </c>
      <c r="P872" s="8"/>
      <c r="Q872" s="8"/>
      <c r="R872" s="8"/>
      <c r="S872" s="8"/>
      <c r="T872" s="8"/>
      <c r="U872" s="8"/>
      <c r="V872" s="8"/>
      <c r="W872" s="8"/>
      <c r="X872" s="8"/>
      <c r="Y872" s="8"/>
      <c r="Z872" s="8"/>
    </row>
    <row r="873" spans="1:26" s="9" customFormat="1" ht="15.75">
      <c r="A873" s="85" t="s">
        <v>154</v>
      </c>
      <c r="B873" s="86">
        <f t="shared" ref="B873:C873" si="927">B868</f>
        <v>30</v>
      </c>
      <c r="C873" s="86">
        <f t="shared" si="927"/>
        <v>30</v>
      </c>
      <c r="D873" s="86">
        <f t="shared" ref="D873" si="928">D868</f>
        <v>39</v>
      </c>
      <c r="E873" s="86">
        <f t="shared" ref="E873:J873" si="929">E868</f>
        <v>21</v>
      </c>
      <c r="F873" s="86">
        <f t="shared" si="929"/>
        <v>31</v>
      </c>
      <c r="G873" s="86">
        <f t="shared" si="929"/>
        <v>31</v>
      </c>
      <c r="H873" s="86">
        <f t="shared" si="929"/>
        <v>28</v>
      </c>
      <c r="I873" s="86">
        <f t="shared" si="929"/>
        <v>28</v>
      </c>
      <c r="J873" s="86">
        <f t="shared" si="929"/>
        <v>30</v>
      </c>
      <c r="K873" s="86">
        <f t="shared" ref="K873:L873" si="930">K868</f>
        <v>30</v>
      </c>
      <c r="L873" s="86">
        <f t="shared" si="930"/>
        <v>25</v>
      </c>
      <c r="M873" s="86">
        <f t="shared" ref="M873" si="931">M868</f>
        <v>30</v>
      </c>
      <c r="N873" s="133">
        <f>SUM(B873:M873)</f>
        <v>353</v>
      </c>
      <c r="O873" s="19">
        <f>IF(N873=0,0,AVERAGE(B873:M873))</f>
        <v>29.416666666666668</v>
      </c>
      <c r="P873" s="8"/>
      <c r="Q873" s="8"/>
      <c r="R873" s="8"/>
      <c r="S873" s="8"/>
      <c r="T873" s="8"/>
      <c r="U873" s="8"/>
      <c r="V873" s="8"/>
      <c r="W873" s="8"/>
      <c r="X873" s="8"/>
      <c r="Y873" s="8"/>
      <c r="Z873" s="8"/>
    </row>
    <row r="874" spans="1:26" s="9" customFormat="1" ht="15.75">
      <c r="A874" s="342" t="s">
        <v>155</v>
      </c>
      <c r="B874" s="333">
        <f t="shared" ref="B874:C874" si="932">SUM(B872:B873)</f>
        <v>30</v>
      </c>
      <c r="C874" s="333">
        <f t="shared" si="932"/>
        <v>30</v>
      </c>
      <c r="D874" s="333">
        <f t="shared" ref="D874" si="933">SUM(D872:D873)</f>
        <v>39</v>
      </c>
      <c r="E874" s="333">
        <f t="shared" ref="E874:J874" si="934">SUM(E872:E873)</f>
        <v>21</v>
      </c>
      <c r="F874" s="333">
        <f t="shared" si="934"/>
        <v>31</v>
      </c>
      <c r="G874" s="333">
        <f t="shared" si="934"/>
        <v>31</v>
      </c>
      <c r="H874" s="333">
        <f t="shared" si="934"/>
        <v>28</v>
      </c>
      <c r="I874" s="333">
        <f t="shared" si="934"/>
        <v>28</v>
      </c>
      <c r="J874" s="333">
        <f t="shared" si="934"/>
        <v>30</v>
      </c>
      <c r="K874" s="333">
        <f t="shared" ref="K874:L874" si="935">SUM(K872:K873)</f>
        <v>30</v>
      </c>
      <c r="L874" s="333">
        <f t="shared" si="935"/>
        <v>25</v>
      </c>
      <c r="M874" s="333">
        <f t="shared" ref="M874" si="936">SUM(M872:M873)</f>
        <v>30</v>
      </c>
      <c r="N874" s="334">
        <f>SUM(N872:N873)</f>
        <v>353</v>
      </c>
      <c r="O874" s="335">
        <f>SUM(O872:O873)</f>
        <v>29.416666666666668</v>
      </c>
      <c r="P874" s="8"/>
      <c r="Q874" s="8"/>
      <c r="R874" s="8"/>
      <c r="S874" s="8"/>
      <c r="T874" s="8"/>
      <c r="U874" s="8"/>
      <c r="V874" s="8"/>
      <c r="W874" s="8"/>
      <c r="X874" s="8"/>
      <c r="Y874" s="8"/>
      <c r="Z874" s="8"/>
    </row>
    <row r="875" spans="1:26" s="9" customFormat="1" ht="15.75">
      <c r="A875" s="82"/>
      <c r="B875" s="83"/>
      <c r="C875" s="83"/>
      <c r="D875" s="83"/>
      <c r="E875" s="83"/>
      <c r="F875" s="83"/>
      <c r="G875" s="83"/>
      <c r="H875" s="83"/>
      <c r="I875" s="83"/>
      <c r="J875" s="83"/>
      <c r="K875" s="83"/>
      <c r="L875" s="83"/>
      <c r="M875" s="83"/>
      <c r="N875" s="148"/>
      <c r="O875" s="84"/>
      <c r="P875" s="8"/>
      <c r="Q875" s="8"/>
      <c r="R875" s="8"/>
      <c r="S875" s="8"/>
      <c r="T875" s="8"/>
      <c r="U875" s="8"/>
      <c r="V875" s="8"/>
      <c r="W875" s="8"/>
      <c r="X875" s="8"/>
      <c r="Y875" s="8"/>
      <c r="Z875" s="8"/>
    </row>
    <row r="876" spans="1:26" s="9" customFormat="1" ht="15.75">
      <c r="A876" s="14" t="s">
        <v>749</v>
      </c>
      <c r="B876" s="15"/>
      <c r="C876" s="15"/>
      <c r="D876" s="15"/>
      <c r="E876" s="15"/>
      <c r="F876" s="15"/>
      <c r="G876" s="15"/>
      <c r="H876" s="15"/>
      <c r="I876" s="15"/>
      <c r="J876" s="15"/>
      <c r="K876" s="15"/>
      <c r="L876" s="15"/>
      <c r="M876" s="15"/>
      <c r="N876" s="132"/>
      <c r="O876" s="16"/>
      <c r="P876" s="10"/>
      <c r="Q876" s="10"/>
      <c r="R876" s="10"/>
      <c r="S876" s="10"/>
      <c r="T876" s="10"/>
      <c r="U876" s="10"/>
      <c r="V876" s="10"/>
      <c r="W876" s="10"/>
      <c r="X876" s="10"/>
      <c r="Y876" s="10"/>
      <c r="Z876" s="10"/>
    </row>
    <row r="877" spans="1:26" s="9" customFormat="1" ht="15.75">
      <c r="A877" s="60" t="s">
        <v>750</v>
      </c>
      <c r="B877" s="15"/>
      <c r="C877" s="15"/>
      <c r="D877" s="15"/>
      <c r="E877" s="15"/>
      <c r="F877" s="15"/>
      <c r="G877" s="15"/>
      <c r="H877" s="15"/>
      <c r="I877" s="15"/>
      <c r="J877" s="15"/>
      <c r="K877" s="15"/>
      <c r="L877" s="15"/>
      <c r="M877" s="15"/>
      <c r="N877" s="152"/>
      <c r="O877" s="22"/>
      <c r="P877" s="10"/>
      <c r="Q877" s="10"/>
      <c r="R877" s="10"/>
      <c r="S877" s="10"/>
      <c r="T877" s="10"/>
      <c r="U877" s="10"/>
      <c r="V877" s="10"/>
      <c r="W877" s="10"/>
      <c r="X877" s="10"/>
      <c r="Y877" s="10"/>
      <c r="Z877" s="10"/>
    </row>
    <row r="878" spans="1:26" s="9" customFormat="1" ht="15.75">
      <c r="A878" s="34" t="s">
        <v>145</v>
      </c>
      <c r="B878" s="18">
        <v>14607</v>
      </c>
      <c r="C878" s="81">
        <v>14720</v>
      </c>
      <c r="D878" s="81">
        <v>15765</v>
      </c>
      <c r="E878" s="18">
        <v>15806</v>
      </c>
      <c r="F878" s="18">
        <v>16214</v>
      </c>
      <c r="G878" s="18">
        <v>17021</v>
      </c>
      <c r="H878" s="18">
        <v>18763</v>
      </c>
      <c r="I878" s="18">
        <v>25748</v>
      </c>
      <c r="J878" s="81">
        <v>19679</v>
      </c>
      <c r="K878" s="81">
        <v>20719</v>
      </c>
      <c r="L878" s="18">
        <v>22139</v>
      </c>
      <c r="M878" s="18">
        <v>21377</v>
      </c>
      <c r="N878" s="133">
        <f t="shared" ref="N878:N886" si="937">SUM(B878:M878)</f>
        <v>222558</v>
      </c>
      <c r="O878" s="19">
        <f t="shared" ref="O878:O886" si="938">IF(N878=0,0,AVERAGE(B878:M878))</f>
        <v>18546.5</v>
      </c>
      <c r="P878" s="77"/>
      <c r="Q878" s="77"/>
      <c r="R878" s="77"/>
      <c r="S878" s="77"/>
      <c r="T878" s="77"/>
      <c r="U878" s="77"/>
      <c r="V878" s="77"/>
      <c r="W878" s="77"/>
      <c r="X878" s="77"/>
      <c r="Y878" s="77"/>
      <c r="Z878" s="77"/>
    </row>
    <row r="879" spans="1:26" s="9" customFormat="1" ht="15.75">
      <c r="A879" s="34" t="s">
        <v>146</v>
      </c>
      <c r="B879" s="18">
        <v>300</v>
      </c>
      <c r="C879" s="81">
        <v>303</v>
      </c>
      <c r="D879" s="81">
        <v>451</v>
      </c>
      <c r="E879" s="18">
        <v>497</v>
      </c>
      <c r="F879" s="18">
        <v>215</v>
      </c>
      <c r="G879" s="18">
        <v>239</v>
      </c>
      <c r="H879" s="18">
        <v>277</v>
      </c>
      <c r="I879" s="18">
        <v>314</v>
      </c>
      <c r="J879" s="81">
        <v>347</v>
      </c>
      <c r="K879" s="81">
        <v>317</v>
      </c>
      <c r="L879" s="18">
        <v>349</v>
      </c>
      <c r="M879" s="18">
        <v>0</v>
      </c>
      <c r="N879" s="133">
        <f t="shared" si="937"/>
        <v>3609</v>
      </c>
      <c r="O879" s="19">
        <f t="shared" si="938"/>
        <v>300.75</v>
      </c>
      <c r="P879" s="8"/>
      <c r="Q879" s="8"/>
      <c r="R879" s="8"/>
      <c r="S879" s="8"/>
      <c r="T879" s="8"/>
      <c r="U879" s="8"/>
      <c r="V879" s="8"/>
      <c r="W879" s="8"/>
      <c r="X879" s="8"/>
      <c r="Y879" s="8"/>
      <c r="Z879" s="8"/>
    </row>
    <row r="880" spans="1:26" s="9" customFormat="1" ht="15.75">
      <c r="A880" s="34" t="s">
        <v>147</v>
      </c>
      <c r="B880" s="18">
        <v>2327</v>
      </c>
      <c r="C880" s="81">
        <v>2467</v>
      </c>
      <c r="D880" s="81">
        <v>2468</v>
      </c>
      <c r="E880" s="18">
        <v>2370</v>
      </c>
      <c r="F880" s="18">
        <v>2769</v>
      </c>
      <c r="G880" s="18">
        <v>2263</v>
      </c>
      <c r="H880" s="18">
        <v>3086</v>
      </c>
      <c r="I880" s="18">
        <v>3781</v>
      </c>
      <c r="J880" s="81">
        <v>3165</v>
      </c>
      <c r="K880" s="81">
        <v>3118</v>
      </c>
      <c r="L880" s="18">
        <v>3383</v>
      </c>
      <c r="M880" s="18">
        <v>3369</v>
      </c>
      <c r="N880" s="133">
        <f t="shared" si="937"/>
        <v>34566</v>
      </c>
      <c r="O880" s="19">
        <f t="shared" si="938"/>
        <v>2880.5</v>
      </c>
      <c r="P880" s="8"/>
      <c r="Q880" s="8"/>
      <c r="R880" s="8"/>
      <c r="S880" s="8"/>
      <c r="T880" s="8"/>
      <c r="U880" s="8"/>
      <c r="V880" s="8"/>
      <c r="W880" s="8"/>
      <c r="X880" s="8"/>
      <c r="Y880" s="8"/>
      <c r="Z880" s="8"/>
    </row>
    <row r="881" spans="1:26" s="9" customFormat="1" ht="15.75">
      <c r="A881" s="34" t="s">
        <v>149</v>
      </c>
      <c r="B881" s="18">
        <v>2657</v>
      </c>
      <c r="C881" s="81">
        <v>3685</v>
      </c>
      <c r="D881" s="81">
        <v>2518</v>
      </c>
      <c r="E881" s="18">
        <v>3534</v>
      </c>
      <c r="F881" s="18">
        <v>3502</v>
      </c>
      <c r="G881" s="18">
        <v>3379</v>
      </c>
      <c r="H881" s="18">
        <v>3242</v>
      </c>
      <c r="I881" s="18">
        <v>6059</v>
      </c>
      <c r="J881" s="81">
        <v>5308</v>
      </c>
      <c r="K881" s="81">
        <v>4264</v>
      </c>
      <c r="L881" s="18">
        <v>3954</v>
      </c>
      <c r="M881" s="18">
        <v>4496</v>
      </c>
      <c r="N881" s="133">
        <f t="shared" si="937"/>
        <v>46598</v>
      </c>
      <c r="O881" s="19">
        <f t="shared" si="938"/>
        <v>3883.1666666666665</v>
      </c>
      <c r="P881" s="8"/>
      <c r="Q881" s="8"/>
      <c r="R881" s="8"/>
      <c r="S881" s="8"/>
      <c r="T881" s="8"/>
      <c r="U881" s="8"/>
      <c r="V881" s="8"/>
      <c r="W881" s="8"/>
      <c r="X881" s="8"/>
      <c r="Y881" s="8"/>
      <c r="Z881" s="8"/>
    </row>
    <row r="882" spans="1:26" s="9" customFormat="1" ht="15.75">
      <c r="A882" s="34" t="s">
        <v>150</v>
      </c>
      <c r="B882" s="18">
        <v>729</v>
      </c>
      <c r="C882" s="81">
        <v>925</v>
      </c>
      <c r="D882" s="81">
        <v>777</v>
      </c>
      <c r="E882" s="18">
        <v>901</v>
      </c>
      <c r="F882" s="18">
        <v>1142</v>
      </c>
      <c r="G882" s="18">
        <v>1035</v>
      </c>
      <c r="H882" s="18">
        <v>825</v>
      </c>
      <c r="I882" s="18">
        <v>1643</v>
      </c>
      <c r="J882" s="81">
        <v>1064</v>
      </c>
      <c r="K882" s="81">
        <v>829</v>
      </c>
      <c r="L882" s="18">
        <v>1744</v>
      </c>
      <c r="M882" s="18">
        <v>2046</v>
      </c>
      <c r="N882" s="133">
        <f t="shared" si="937"/>
        <v>13660</v>
      </c>
      <c r="O882" s="19">
        <f t="shared" si="938"/>
        <v>1138.3333333333333</v>
      </c>
      <c r="P882" s="10"/>
      <c r="Q882" s="10"/>
      <c r="R882" s="10"/>
      <c r="S882" s="10"/>
      <c r="T882" s="10"/>
      <c r="U882" s="10"/>
      <c r="V882" s="10"/>
      <c r="W882" s="10"/>
      <c r="X882" s="10"/>
      <c r="Y882" s="10"/>
      <c r="Z882" s="10"/>
    </row>
    <row r="883" spans="1:26" s="9" customFormat="1" ht="15.75">
      <c r="A883" s="34" t="s">
        <v>310</v>
      </c>
      <c r="B883" s="18">
        <v>3</v>
      </c>
      <c r="C883" s="81">
        <v>5</v>
      </c>
      <c r="D883" s="81">
        <v>8</v>
      </c>
      <c r="E883" s="18">
        <v>6</v>
      </c>
      <c r="F883" s="18">
        <v>3</v>
      </c>
      <c r="G883" s="18">
        <v>2</v>
      </c>
      <c r="H883" s="18">
        <v>2</v>
      </c>
      <c r="I883" s="18">
        <v>6</v>
      </c>
      <c r="J883" s="81">
        <v>7</v>
      </c>
      <c r="K883" s="81">
        <v>8</v>
      </c>
      <c r="L883" s="18">
        <v>6</v>
      </c>
      <c r="M883" s="18">
        <v>25</v>
      </c>
      <c r="N883" s="133">
        <f t="shared" si="937"/>
        <v>81</v>
      </c>
      <c r="O883" s="19">
        <f t="shared" si="938"/>
        <v>6.75</v>
      </c>
      <c r="P883" s="10"/>
      <c r="Q883" s="10"/>
      <c r="R883" s="10"/>
      <c r="S883" s="10"/>
      <c r="T883" s="10"/>
      <c r="U883" s="10"/>
      <c r="V883" s="10"/>
      <c r="W883" s="10"/>
      <c r="X883" s="10"/>
      <c r="Y883" s="10"/>
      <c r="Z883" s="10"/>
    </row>
    <row r="884" spans="1:26" s="9" customFormat="1" ht="15.75">
      <c r="A884" s="34" t="s">
        <v>313</v>
      </c>
      <c r="B884" s="18">
        <v>332</v>
      </c>
      <c r="C884" s="18">
        <v>351</v>
      </c>
      <c r="D884" s="18">
        <v>463</v>
      </c>
      <c r="E884" s="18">
        <v>375</v>
      </c>
      <c r="F884" s="18">
        <v>443</v>
      </c>
      <c r="G884" s="18">
        <v>441</v>
      </c>
      <c r="H884" s="18">
        <v>540</v>
      </c>
      <c r="I884" s="18">
        <v>527</v>
      </c>
      <c r="J884" s="81">
        <v>770</v>
      </c>
      <c r="K884" s="81">
        <v>550</v>
      </c>
      <c r="L884" s="18">
        <v>541</v>
      </c>
      <c r="M884" s="18">
        <v>592</v>
      </c>
      <c r="N884" s="133">
        <f t="shared" si="937"/>
        <v>5925</v>
      </c>
      <c r="O884" s="19">
        <f t="shared" si="938"/>
        <v>493.75</v>
      </c>
      <c r="P884" s="8"/>
      <c r="Q884" s="8"/>
      <c r="R884" s="8"/>
      <c r="S884" s="8"/>
      <c r="T884" s="8"/>
      <c r="U884" s="8"/>
      <c r="V884" s="8"/>
      <c r="W884" s="8"/>
      <c r="X884" s="8"/>
      <c r="Y884" s="8"/>
      <c r="Z884" s="8"/>
    </row>
    <row r="885" spans="1:26" s="9" customFormat="1" ht="15.75">
      <c r="A885" s="34" t="s">
        <v>151</v>
      </c>
      <c r="B885" s="18">
        <v>72</v>
      </c>
      <c r="C885" s="81">
        <v>49</v>
      </c>
      <c r="D885" s="81">
        <v>46</v>
      </c>
      <c r="E885" s="18">
        <v>51</v>
      </c>
      <c r="F885" s="18">
        <v>55</v>
      </c>
      <c r="G885" s="18">
        <v>44</v>
      </c>
      <c r="H885" s="18">
        <v>46</v>
      </c>
      <c r="I885" s="18">
        <v>69</v>
      </c>
      <c r="J885" s="81">
        <v>62</v>
      </c>
      <c r="K885" s="81">
        <v>59</v>
      </c>
      <c r="L885" s="18">
        <v>49</v>
      </c>
      <c r="M885" s="18">
        <v>76</v>
      </c>
      <c r="N885" s="133">
        <f t="shared" si="937"/>
        <v>678</v>
      </c>
      <c r="O885" s="19">
        <f t="shared" si="938"/>
        <v>56.5</v>
      </c>
      <c r="P885" s="10"/>
      <c r="Q885" s="10"/>
      <c r="R885" s="10"/>
      <c r="S885" s="10"/>
      <c r="T885" s="10"/>
      <c r="U885" s="10"/>
      <c r="V885" s="10"/>
      <c r="W885" s="10"/>
      <c r="X885" s="10"/>
      <c r="Y885" s="10"/>
      <c r="Z885" s="10"/>
    </row>
    <row r="886" spans="1:26" s="9" customFormat="1" ht="15.75">
      <c r="A886" s="34" t="s">
        <v>152</v>
      </c>
      <c r="B886" s="18">
        <v>575</v>
      </c>
      <c r="C886" s="81">
        <v>546</v>
      </c>
      <c r="D886" s="81">
        <v>552</v>
      </c>
      <c r="E886" s="18">
        <v>595</v>
      </c>
      <c r="F886" s="18">
        <v>541</v>
      </c>
      <c r="G886" s="18">
        <v>593</v>
      </c>
      <c r="H886" s="18">
        <v>592</v>
      </c>
      <c r="I886" s="18">
        <v>949</v>
      </c>
      <c r="J886" s="81">
        <v>696</v>
      </c>
      <c r="K886" s="81">
        <v>724</v>
      </c>
      <c r="L886" s="18">
        <v>727</v>
      </c>
      <c r="M886" s="18">
        <v>684</v>
      </c>
      <c r="N886" s="133">
        <f t="shared" si="937"/>
        <v>7774</v>
      </c>
      <c r="O886" s="19">
        <f t="shared" si="938"/>
        <v>647.83333333333337</v>
      </c>
      <c r="P886" s="10"/>
      <c r="Q886" s="10"/>
      <c r="R886" s="10"/>
      <c r="S886" s="10"/>
      <c r="T886" s="10"/>
      <c r="U886" s="10"/>
      <c r="V886" s="10"/>
      <c r="W886" s="10"/>
      <c r="X886" s="10"/>
      <c r="Y886" s="10"/>
      <c r="Z886" s="10"/>
    </row>
    <row r="887" spans="1:26" s="9" customFormat="1" ht="15.75">
      <c r="A887" s="56" t="s">
        <v>21</v>
      </c>
      <c r="B887" s="21">
        <f t="shared" ref="B887:C887" si="939">SUM(B878:B886)</f>
        <v>21602</v>
      </c>
      <c r="C887" s="21">
        <f t="shared" si="939"/>
        <v>23051</v>
      </c>
      <c r="D887" s="21">
        <f t="shared" ref="D887:E887" si="940">SUM(D878:D886)</f>
        <v>23048</v>
      </c>
      <c r="E887" s="21">
        <f t="shared" si="940"/>
        <v>24135</v>
      </c>
      <c r="F887" s="21">
        <f t="shared" ref="F887:G887" si="941">SUM(F878:F886)</f>
        <v>24884</v>
      </c>
      <c r="G887" s="21">
        <f t="shared" si="941"/>
        <v>25017</v>
      </c>
      <c r="H887" s="21">
        <f t="shared" ref="H887:I887" si="942">SUM(H878:H886)</f>
        <v>27373</v>
      </c>
      <c r="I887" s="21">
        <f t="shared" si="942"/>
        <v>39096</v>
      </c>
      <c r="J887" s="21">
        <f t="shared" ref="J887:K887" si="943">SUM(J878:J886)</f>
        <v>31098</v>
      </c>
      <c r="K887" s="21">
        <f t="shared" si="943"/>
        <v>30588</v>
      </c>
      <c r="L887" s="21">
        <f t="shared" ref="L887:M887" si="944">SUM(L878:L886)</f>
        <v>32892</v>
      </c>
      <c r="M887" s="21">
        <f t="shared" si="944"/>
        <v>32665</v>
      </c>
      <c r="N887" s="128">
        <f>SUM(N878:N886)</f>
        <v>335449</v>
      </c>
      <c r="O887" s="22">
        <f>SUM(O878:O886)</f>
        <v>27954.083333333332</v>
      </c>
      <c r="P887" s="8"/>
      <c r="Q887" s="8"/>
      <c r="R887" s="8"/>
      <c r="S887" s="8"/>
      <c r="T887" s="8"/>
      <c r="U887" s="8"/>
      <c r="V887" s="8"/>
      <c r="W887" s="8"/>
      <c r="X887" s="8"/>
      <c r="Y887" s="8"/>
      <c r="Z887" s="8"/>
    </row>
    <row r="888" spans="1:26" s="9" customFormat="1" ht="15.75">
      <c r="A888" s="67" t="s">
        <v>112</v>
      </c>
      <c r="B888" s="45">
        <f t="shared" ref="B888:G888" si="945">IF(B887=0,"",B887/B$1676)</f>
        <v>696.83870967741939</v>
      </c>
      <c r="C888" s="45">
        <f t="shared" si="945"/>
        <v>823.25</v>
      </c>
      <c r="D888" s="45">
        <f t="shared" si="945"/>
        <v>743.48387096774195</v>
      </c>
      <c r="E888" s="45">
        <f t="shared" si="945"/>
        <v>804.5</v>
      </c>
      <c r="F888" s="45">
        <f t="shared" si="945"/>
        <v>802.70967741935488</v>
      </c>
      <c r="G888" s="45">
        <f t="shared" si="945"/>
        <v>833.9</v>
      </c>
      <c r="H888" s="45">
        <f t="shared" ref="H888:I888" si="946">IF(H887=0,"",H887/H$1676)</f>
        <v>883</v>
      </c>
      <c r="I888" s="45">
        <f t="shared" si="946"/>
        <v>1261.1612903225807</v>
      </c>
      <c r="J888" s="45">
        <f t="shared" ref="J888:K888" si="947">IF(J887=0,"",J887/J$1676)</f>
        <v>1036.5999999999999</v>
      </c>
      <c r="K888" s="45">
        <f t="shared" si="947"/>
        <v>986.70967741935488</v>
      </c>
      <c r="L888" s="45">
        <f t="shared" ref="L888:M888" si="948">IF(L887=0,"",L887/L$1676)</f>
        <v>1096.4000000000001</v>
      </c>
      <c r="M888" s="45">
        <f t="shared" si="948"/>
        <v>1053.7096774193549</v>
      </c>
      <c r="N888" s="139">
        <f>SUM(B888:M888)</f>
        <v>11022.262903225805</v>
      </c>
      <c r="O888" s="45">
        <f>IF(N888=0,0,AVERAGE(B888:M888))</f>
        <v>918.52190860215035</v>
      </c>
      <c r="P888" s="10"/>
      <c r="Q888" s="10"/>
      <c r="R888" s="10"/>
      <c r="S888" s="10"/>
      <c r="T888" s="10"/>
      <c r="U888" s="10"/>
      <c r="V888" s="10"/>
      <c r="W888" s="10"/>
      <c r="X888" s="10"/>
      <c r="Y888" s="10"/>
      <c r="Z888" s="10"/>
    </row>
    <row r="889" spans="1:26" s="9" customFormat="1" ht="15.75">
      <c r="A889" s="30"/>
      <c r="B889" s="31"/>
      <c r="C889" s="31"/>
      <c r="D889" s="31"/>
      <c r="E889" s="32"/>
      <c r="F889" s="32"/>
      <c r="G889" s="32"/>
      <c r="H889" s="32"/>
      <c r="I889" s="32"/>
      <c r="J889" s="32"/>
      <c r="K889" s="32"/>
      <c r="L889" s="32"/>
      <c r="M889" s="32"/>
      <c r="N889" s="136"/>
      <c r="O889" s="103"/>
      <c r="P889" s="10"/>
      <c r="Q889" s="10"/>
      <c r="R889" s="10"/>
      <c r="S889" s="10"/>
      <c r="T889" s="10"/>
      <c r="U889" s="10"/>
      <c r="V889" s="10"/>
      <c r="W889" s="10"/>
      <c r="X889" s="10"/>
      <c r="Y889" s="10"/>
      <c r="Z889" s="10"/>
    </row>
    <row r="890" spans="1:26" s="9" customFormat="1" ht="15.75">
      <c r="A890" s="182" t="s">
        <v>751</v>
      </c>
      <c r="B890" s="183"/>
      <c r="C890" s="183"/>
      <c r="D890" s="183"/>
      <c r="E890" s="183"/>
      <c r="F890" s="183"/>
      <c r="G890" s="183"/>
      <c r="H890" s="183"/>
      <c r="I890" s="183"/>
      <c r="J890" s="183"/>
      <c r="K890" s="183"/>
      <c r="L890" s="183"/>
      <c r="M890" s="183"/>
      <c r="N890" s="183"/>
      <c r="O890" s="249"/>
      <c r="P890" s="10"/>
      <c r="Q890" s="10"/>
      <c r="R890" s="10"/>
      <c r="S890" s="10"/>
      <c r="T890" s="10"/>
      <c r="U890" s="10"/>
      <c r="V890" s="10"/>
      <c r="W890" s="10"/>
      <c r="X890" s="10"/>
      <c r="Y890" s="10"/>
      <c r="Z890" s="10"/>
    </row>
    <row r="891" spans="1:26" s="9" customFormat="1" ht="15.75">
      <c r="A891" s="41" t="s">
        <v>18</v>
      </c>
      <c r="B891" s="35">
        <v>1773</v>
      </c>
      <c r="C891" s="35">
        <v>1676</v>
      </c>
      <c r="D891" s="35">
        <v>883</v>
      </c>
      <c r="E891" s="35">
        <v>1428</v>
      </c>
      <c r="F891" s="35">
        <v>1623</v>
      </c>
      <c r="G891" s="35">
        <v>1200</v>
      </c>
      <c r="H891" s="35">
        <v>2416</v>
      </c>
      <c r="I891" s="35">
        <v>3527</v>
      </c>
      <c r="J891" s="35">
        <v>2300</v>
      </c>
      <c r="K891" s="35">
        <v>2478</v>
      </c>
      <c r="L891" s="35">
        <v>3278</v>
      </c>
      <c r="M891" s="35">
        <v>2226</v>
      </c>
      <c r="N891" s="138">
        <f>SUM(B891:M891)</f>
        <v>24808</v>
      </c>
      <c r="O891" s="42">
        <f>IF(N891=0,0,AVERAGE(B891:M891))</f>
        <v>2067.3333333333335</v>
      </c>
      <c r="P891" s="10"/>
      <c r="Q891" s="10"/>
      <c r="R891" s="10"/>
      <c r="S891" s="10"/>
      <c r="T891" s="10"/>
      <c r="U891" s="10"/>
      <c r="V891" s="10"/>
      <c r="W891" s="10"/>
      <c r="X891" s="10"/>
      <c r="Y891" s="10"/>
      <c r="Z891" s="10"/>
    </row>
    <row r="892" spans="1:26" s="9" customFormat="1" ht="15.75">
      <c r="A892" s="41" t="s">
        <v>19</v>
      </c>
      <c r="B892" s="35">
        <v>2008</v>
      </c>
      <c r="C892" s="35">
        <v>2146</v>
      </c>
      <c r="D892" s="35">
        <v>3424</v>
      </c>
      <c r="E892" s="35">
        <v>2818</v>
      </c>
      <c r="F892" s="35">
        <v>3781</v>
      </c>
      <c r="G892" s="35">
        <v>3861</v>
      </c>
      <c r="H892" s="35">
        <v>4540</v>
      </c>
      <c r="I892" s="35">
        <v>2674</v>
      </c>
      <c r="J892" s="35">
        <v>2683</v>
      </c>
      <c r="K892" s="35">
        <v>2654</v>
      </c>
      <c r="L892" s="35">
        <v>2897</v>
      </c>
      <c r="M892" s="35">
        <v>3456</v>
      </c>
      <c r="N892" s="138">
        <f>SUM(B892:M892)</f>
        <v>36942</v>
      </c>
      <c r="O892" s="42">
        <f>IF(N892=0,0,AVERAGE(B892:M892))</f>
        <v>3078.5</v>
      </c>
      <c r="P892" s="10"/>
      <c r="Q892" s="10"/>
      <c r="R892" s="10"/>
      <c r="S892" s="10"/>
      <c r="T892" s="10"/>
      <c r="U892" s="10"/>
      <c r="V892" s="10"/>
      <c r="W892" s="10"/>
      <c r="X892" s="10"/>
      <c r="Y892" s="10"/>
      <c r="Z892" s="10"/>
    </row>
    <row r="893" spans="1:26" s="9" customFormat="1" ht="15.75">
      <c r="A893" s="41" t="s">
        <v>20</v>
      </c>
      <c r="B893" s="35">
        <v>2159</v>
      </c>
      <c r="C893" s="35">
        <v>2452</v>
      </c>
      <c r="D893" s="35">
        <v>3190</v>
      </c>
      <c r="E893" s="35">
        <v>3126</v>
      </c>
      <c r="F893" s="35">
        <v>2529</v>
      </c>
      <c r="G893" s="35">
        <v>2108</v>
      </c>
      <c r="H893" s="35">
        <v>2556</v>
      </c>
      <c r="I893" s="35">
        <v>2762</v>
      </c>
      <c r="J893" s="35">
        <v>2600</v>
      </c>
      <c r="K893" s="35">
        <v>2906</v>
      </c>
      <c r="L893" s="35">
        <v>3098</v>
      </c>
      <c r="M893" s="35">
        <v>3261</v>
      </c>
      <c r="N893" s="138">
        <f>SUM(B893:M893)</f>
        <v>32747</v>
      </c>
      <c r="O893" s="42">
        <f>IF(N893=0,0,AVERAGE(B893:M893))</f>
        <v>2728.9166666666665</v>
      </c>
      <c r="P893" s="8"/>
      <c r="Q893" s="8"/>
      <c r="R893" s="8"/>
      <c r="S893" s="8"/>
      <c r="T893" s="8"/>
      <c r="U893" s="8"/>
      <c r="V893" s="8"/>
      <c r="W893" s="8"/>
      <c r="X893" s="8"/>
      <c r="Y893" s="8"/>
      <c r="Z893" s="8"/>
    </row>
    <row r="894" spans="1:26" s="9" customFormat="1" ht="15.75">
      <c r="A894" s="67" t="s">
        <v>21</v>
      </c>
      <c r="B894" s="44">
        <f t="shared" ref="B894:D894" si="949">SUM(B891:B893)</f>
        <v>5940</v>
      </c>
      <c r="C894" s="44">
        <f t="shared" si="949"/>
        <v>6274</v>
      </c>
      <c r="D894" s="44">
        <f t="shared" si="949"/>
        <v>7497</v>
      </c>
      <c r="E894" s="44">
        <f t="shared" ref="E894:F894" si="950">SUM(E891:E893)</f>
        <v>7372</v>
      </c>
      <c r="F894" s="44">
        <f t="shared" si="950"/>
        <v>7933</v>
      </c>
      <c r="G894" s="44">
        <f t="shared" ref="G894:H894" si="951">SUM(G891:G893)</f>
        <v>7169</v>
      </c>
      <c r="H894" s="44">
        <f t="shared" si="951"/>
        <v>9512</v>
      </c>
      <c r="I894" s="44">
        <f t="shared" ref="I894:J894" si="952">SUM(I891:I893)</f>
        <v>8963</v>
      </c>
      <c r="J894" s="44">
        <f t="shared" si="952"/>
        <v>7583</v>
      </c>
      <c r="K894" s="44">
        <f t="shared" ref="K894:L894" si="953">SUM(K891:K893)</f>
        <v>8038</v>
      </c>
      <c r="L894" s="44">
        <f t="shared" si="953"/>
        <v>9273</v>
      </c>
      <c r="M894" s="44">
        <f t="shared" ref="M894" si="954">SUM(M891:M893)</f>
        <v>8943</v>
      </c>
      <c r="N894" s="139">
        <f>SUM(N891:N893)</f>
        <v>94497</v>
      </c>
      <c r="O894" s="45">
        <f>SUM(O891:O893)</f>
        <v>7874.75</v>
      </c>
      <c r="P894" s="8"/>
      <c r="Q894" s="8"/>
      <c r="R894" s="8"/>
      <c r="S894" s="8"/>
      <c r="T894" s="8"/>
      <c r="U894" s="8"/>
      <c r="V894" s="8"/>
      <c r="W894" s="8"/>
      <c r="X894" s="8"/>
      <c r="Y894" s="8"/>
      <c r="Z894" s="8"/>
    </row>
    <row r="895" spans="1:26" s="9" customFormat="1" ht="15.75">
      <c r="A895" s="67" t="s">
        <v>112</v>
      </c>
      <c r="B895" s="45">
        <f t="shared" ref="B895:G895" si="955">IF(B894=0,"",B894/B$1676)</f>
        <v>191.61290322580646</v>
      </c>
      <c r="C895" s="45">
        <f t="shared" si="955"/>
        <v>224.07142857142858</v>
      </c>
      <c r="D895" s="45">
        <f t="shared" si="955"/>
        <v>241.83870967741936</v>
      </c>
      <c r="E895" s="45">
        <f t="shared" si="955"/>
        <v>245.73333333333332</v>
      </c>
      <c r="F895" s="45">
        <f t="shared" si="955"/>
        <v>255.90322580645162</v>
      </c>
      <c r="G895" s="45">
        <f t="shared" si="955"/>
        <v>238.96666666666667</v>
      </c>
      <c r="H895" s="45">
        <f t="shared" ref="H895:I895" si="956">IF(H894=0,"",H894/H$1676)</f>
        <v>306.83870967741933</v>
      </c>
      <c r="I895" s="45">
        <f t="shared" si="956"/>
        <v>289.12903225806451</v>
      </c>
      <c r="J895" s="45">
        <f t="shared" ref="J895:K895" si="957">IF(J894=0,"",J894/J$1676)</f>
        <v>252.76666666666668</v>
      </c>
      <c r="K895" s="45">
        <f t="shared" si="957"/>
        <v>259.29032258064518</v>
      </c>
      <c r="L895" s="45">
        <f t="shared" ref="L895:M895" si="958">IF(L894=0,"",L894/L$1676)</f>
        <v>309.10000000000002</v>
      </c>
      <c r="M895" s="45">
        <f t="shared" si="958"/>
        <v>288.48387096774195</v>
      </c>
      <c r="N895" s="139">
        <f>SUM(B895:M895)</f>
        <v>3103.7348694316438</v>
      </c>
      <c r="O895" s="45">
        <f>IF(N895=0,0,AVERAGE(B895:M895))</f>
        <v>258.64457245263696</v>
      </c>
      <c r="P895" s="10"/>
      <c r="Q895" s="10"/>
      <c r="R895" s="10"/>
      <c r="S895" s="10"/>
      <c r="T895" s="10"/>
      <c r="U895" s="10"/>
      <c r="V895" s="10"/>
      <c r="W895" s="10"/>
      <c r="X895" s="10"/>
      <c r="Y895" s="10"/>
      <c r="Z895" s="10"/>
    </row>
    <row r="896" spans="1:26" s="9" customFormat="1" ht="15.75">
      <c r="A896" s="53"/>
      <c r="B896" s="51"/>
      <c r="C896" s="51"/>
      <c r="D896" s="51"/>
      <c r="E896" s="51"/>
      <c r="F896" s="52"/>
      <c r="G896" s="52"/>
      <c r="H896" s="52"/>
      <c r="I896" s="52"/>
      <c r="J896" s="52"/>
      <c r="K896" s="52"/>
      <c r="L896" s="52"/>
      <c r="M896" s="52"/>
      <c r="N896" s="141"/>
      <c r="O896" s="54"/>
      <c r="P896" s="10"/>
      <c r="Q896" s="10"/>
      <c r="R896" s="10"/>
      <c r="S896" s="10"/>
      <c r="T896" s="10"/>
      <c r="U896" s="10"/>
      <c r="V896" s="10"/>
      <c r="W896" s="10"/>
      <c r="X896" s="10"/>
      <c r="Y896" s="10"/>
      <c r="Z896" s="10"/>
    </row>
    <row r="897" spans="1:26" s="9" customFormat="1" ht="15.75">
      <c r="A897" s="60" t="s">
        <v>752</v>
      </c>
      <c r="B897" s="15"/>
      <c r="C897" s="15"/>
      <c r="D897" s="15"/>
      <c r="E897" s="15"/>
      <c r="F897" s="15"/>
      <c r="G897" s="15"/>
      <c r="H897" s="15"/>
      <c r="I897" s="15"/>
      <c r="J897" s="15"/>
      <c r="K897" s="15"/>
      <c r="L897" s="15"/>
      <c r="M897" s="15"/>
      <c r="N897" s="132"/>
      <c r="O897" s="16"/>
      <c r="P897" s="10"/>
      <c r="Q897" s="10"/>
      <c r="R897" s="10"/>
      <c r="S897" s="10"/>
      <c r="T897" s="10"/>
      <c r="U897" s="10"/>
      <c r="V897" s="10"/>
      <c r="W897" s="10"/>
      <c r="X897" s="10"/>
      <c r="Y897" s="10"/>
      <c r="Z897" s="10"/>
    </row>
    <row r="898" spans="1:26" s="9" customFormat="1" ht="15.75">
      <c r="A898" s="34" t="s">
        <v>114</v>
      </c>
      <c r="B898" s="18">
        <v>15662</v>
      </c>
      <c r="C898" s="18">
        <v>16777</v>
      </c>
      <c r="D898" s="18">
        <v>15551</v>
      </c>
      <c r="E898" s="18">
        <v>16763</v>
      </c>
      <c r="F898" s="18">
        <f>16683+268</f>
        <v>16951</v>
      </c>
      <c r="G898" s="18">
        <f>17779+69</f>
        <v>17848</v>
      </c>
      <c r="H898" s="18">
        <v>17861</v>
      </c>
      <c r="I898" s="18">
        <v>30133</v>
      </c>
      <c r="J898" s="18">
        <v>23515</v>
      </c>
      <c r="K898" s="18">
        <v>22550</v>
      </c>
      <c r="L898" s="18">
        <v>23619</v>
      </c>
      <c r="M898" s="18">
        <v>23722</v>
      </c>
      <c r="N898" s="133">
        <f>SUM(B898:M898)</f>
        <v>240952</v>
      </c>
      <c r="O898" s="19">
        <f>IF(N898=0,0,AVERAGE(B898:M898))</f>
        <v>20079.333333333332</v>
      </c>
      <c r="P898" s="8"/>
      <c r="Q898" s="8"/>
      <c r="R898" s="8"/>
      <c r="S898" s="8"/>
      <c r="T898" s="8"/>
      <c r="U898" s="8"/>
      <c r="V898" s="8"/>
      <c r="W898" s="8"/>
      <c r="X898" s="8"/>
      <c r="Y898" s="8"/>
      <c r="Z898" s="8"/>
    </row>
    <row r="899" spans="1:26" s="9" customFormat="1" ht="15.75">
      <c r="A899" s="56" t="s">
        <v>21</v>
      </c>
      <c r="B899" s="21">
        <f t="shared" ref="B899:C899" si="959">SUM(B898)</f>
        <v>15662</v>
      </c>
      <c r="C899" s="21">
        <f t="shared" si="959"/>
        <v>16777</v>
      </c>
      <c r="D899" s="21">
        <f t="shared" ref="D899:E899" si="960">SUM(D898)</f>
        <v>15551</v>
      </c>
      <c r="E899" s="21">
        <f t="shared" si="960"/>
        <v>16763</v>
      </c>
      <c r="F899" s="21">
        <f t="shared" ref="F899:G899" si="961">SUM(F898)</f>
        <v>16951</v>
      </c>
      <c r="G899" s="21">
        <f t="shared" si="961"/>
        <v>17848</v>
      </c>
      <c r="H899" s="21">
        <f t="shared" ref="H899:I899" si="962">SUM(H898)</f>
        <v>17861</v>
      </c>
      <c r="I899" s="21">
        <f t="shared" si="962"/>
        <v>30133</v>
      </c>
      <c r="J899" s="21">
        <f t="shared" ref="J899:K899" si="963">SUM(J898)</f>
        <v>23515</v>
      </c>
      <c r="K899" s="21">
        <f t="shared" si="963"/>
        <v>22550</v>
      </c>
      <c r="L899" s="21">
        <f t="shared" ref="L899:M899" si="964">SUM(L898)</f>
        <v>23619</v>
      </c>
      <c r="M899" s="21">
        <f t="shared" si="964"/>
        <v>23722</v>
      </c>
      <c r="N899" s="128">
        <f>SUM(N898)</f>
        <v>240952</v>
      </c>
      <c r="O899" s="22">
        <f>SUM(O898)</f>
        <v>20079.333333333332</v>
      </c>
      <c r="P899" s="8"/>
      <c r="Q899" s="8"/>
      <c r="R899" s="8"/>
      <c r="S899" s="8"/>
      <c r="T899" s="8"/>
      <c r="U899" s="8"/>
      <c r="V899" s="8"/>
      <c r="W899" s="8"/>
      <c r="X899" s="8"/>
      <c r="Y899" s="8"/>
      <c r="Z899" s="8"/>
    </row>
    <row r="900" spans="1:26" s="9" customFormat="1" ht="15.75">
      <c r="A900" s="56" t="s">
        <v>112</v>
      </c>
      <c r="B900" s="22">
        <f t="shared" ref="B900:G900" si="965">IF(B899=0,"",B899/B$1676)</f>
        <v>505.22580645161293</v>
      </c>
      <c r="C900" s="22">
        <f t="shared" si="965"/>
        <v>599.17857142857144</v>
      </c>
      <c r="D900" s="22">
        <f t="shared" si="965"/>
        <v>501.64516129032256</v>
      </c>
      <c r="E900" s="22">
        <f t="shared" si="965"/>
        <v>558.76666666666665</v>
      </c>
      <c r="F900" s="22">
        <f t="shared" si="965"/>
        <v>546.80645161290317</v>
      </c>
      <c r="G900" s="22">
        <f t="shared" si="965"/>
        <v>594.93333333333328</v>
      </c>
      <c r="H900" s="22">
        <f t="shared" ref="H900:I900" si="966">IF(H899=0,"",H899/H$1676)</f>
        <v>576.16129032258061</v>
      </c>
      <c r="I900" s="22">
        <f t="shared" si="966"/>
        <v>972.0322580645161</v>
      </c>
      <c r="J900" s="22">
        <f t="shared" ref="J900:K900" si="967">IF(J899=0,"",J899/J$1676)</f>
        <v>783.83333333333337</v>
      </c>
      <c r="K900" s="22">
        <f t="shared" si="967"/>
        <v>727.41935483870964</v>
      </c>
      <c r="L900" s="22">
        <f t="shared" ref="L900:M900" si="968">IF(L899=0,"",L899/L$1676)</f>
        <v>787.3</v>
      </c>
      <c r="M900" s="22">
        <f t="shared" si="968"/>
        <v>765.22580645161293</v>
      </c>
      <c r="N900" s="128">
        <f>SUM(B900:M900)</f>
        <v>7918.5280337941622</v>
      </c>
      <c r="O900" s="22">
        <f>IF(N900=0,0,AVERAGE(B900:M900))</f>
        <v>659.87733614951355</v>
      </c>
      <c r="P900" s="8"/>
      <c r="Q900" s="8"/>
      <c r="R900" s="8"/>
      <c r="S900" s="8"/>
      <c r="T900" s="8"/>
      <c r="U900" s="8"/>
      <c r="V900" s="8"/>
      <c r="W900" s="8"/>
      <c r="X900" s="8"/>
      <c r="Y900" s="8"/>
      <c r="Z900" s="8"/>
    </row>
    <row r="901" spans="1:26" s="9" customFormat="1">
      <c r="A901" s="23"/>
      <c r="B901" s="24"/>
      <c r="C901" s="24"/>
      <c r="D901" s="24"/>
      <c r="E901" s="25"/>
      <c r="F901" s="25"/>
      <c r="G901" s="25"/>
      <c r="H901" s="25"/>
      <c r="I901" s="25"/>
      <c r="J901" s="25"/>
      <c r="K901" s="25"/>
      <c r="L901" s="25"/>
      <c r="M901" s="25"/>
      <c r="N901" s="134"/>
      <c r="O901" s="13"/>
      <c r="P901" s="8"/>
      <c r="Q901" s="8"/>
      <c r="R901" s="8"/>
      <c r="S901" s="8"/>
      <c r="T901" s="8"/>
      <c r="U901" s="8"/>
      <c r="V901" s="8"/>
      <c r="W901" s="8"/>
      <c r="X901" s="8"/>
      <c r="Y901" s="8"/>
      <c r="Z901" s="8"/>
    </row>
    <row r="902" spans="1:26" s="9" customFormat="1" ht="15.75">
      <c r="A902" s="90" t="s">
        <v>153</v>
      </c>
      <c r="B902" s="86">
        <f t="shared" ref="B902:C902" si="969">B894</f>
        <v>5940</v>
      </c>
      <c r="C902" s="86">
        <f t="shared" si="969"/>
        <v>6274</v>
      </c>
      <c r="D902" s="86">
        <f t="shared" ref="D902:E902" si="970">D894</f>
        <v>7497</v>
      </c>
      <c r="E902" s="86">
        <f t="shared" si="970"/>
        <v>7372</v>
      </c>
      <c r="F902" s="86">
        <f t="shared" ref="F902:G902" si="971">F894</f>
        <v>7933</v>
      </c>
      <c r="G902" s="86">
        <f t="shared" si="971"/>
        <v>7169</v>
      </c>
      <c r="H902" s="86">
        <f t="shared" ref="H902:I902" si="972">H894</f>
        <v>9512</v>
      </c>
      <c r="I902" s="86">
        <f t="shared" si="972"/>
        <v>8963</v>
      </c>
      <c r="J902" s="86">
        <f t="shared" ref="J902:K902" si="973">J894</f>
        <v>7583</v>
      </c>
      <c r="K902" s="86">
        <f t="shared" si="973"/>
        <v>8038</v>
      </c>
      <c r="L902" s="86">
        <f t="shared" ref="L902:M902" si="974">L894</f>
        <v>9273</v>
      </c>
      <c r="M902" s="86">
        <f t="shared" si="974"/>
        <v>8943</v>
      </c>
      <c r="N902" s="133">
        <f>SUM(B902:M902)</f>
        <v>94497</v>
      </c>
      <c r="O902" s="19">
        <f>IF(N902=0,0,AVERAGE(B902:M902))</f>
        <v>7874.75</v>
      </c>
      <c r="P902" s="8"/>
      <c r="Q902" s="8"/>
      <c r="R902" s="8"/>
      <c r="S902" s="8"/>
      <c r="T902" s="8"/>
      <c r="U902" s="8"/>
      <c r="V902" s="8"/>
      <c r="W902" s="8"/>
      <c r="X902" s="8"/>
      <c r="Y902" s="8"/>
      <c r="Z902" s="8"/>
    </row>
    <row r="903" spans="1:26" s="9" customFormat="1" ht="15.75">
      <c r="A903" s="90" t="s">
        <v>154</v>
      </c>
      <c r="B903" s="86">
        <f t="shared" ref="B903:C903" si="975">B899</f>
        <v>15662</v>
      </c>
      <c r="C903" s="86">
        <f t="shared" si="975"/>
        <v>16777</v>
      </c>
      <c r="D903" s="86">
        <f t="shared" ref="D903:E903" si="976">D899</f>
        <v>15551</v>
      </c>
      <c r="E903" s="86">
        <f t="shared" si="976"/>
        <v>16763</v>
      </c>
      <c r="F903" s="86">
        <f t="shared" ref="F903:G903" si="977">F899</f>
        <v>16951</v>
      </c>
      <c r="G903" s="86">
        <f t="shared" si="977"/>
        <v>17848</v>
      </c>
      <c r="H903" s="86">
        <f t="shared" ref="H903:I903" si="978">H899</f>
        <v>17861</v>
      </c>
      <c r="I903" s="86">
        <f t="shared" si="978"/>
        <v>30133</v>
      </c>
      <c r="J903" s="86">
        <f t="shared" ref="J903:K903" si="979">J899</f>
        <v>23515</v>
      </c>
      <c r="K903" s="86">
        <f t="shared" si="979"/>
        <v>22550</v>
      </c>
      <c r="L903" s="86">
        <f t="shared" ref="L903:M903" si="980">L899</f>
        <v>23619</v>
      </c>
      <c r="M903" s="86">
        <f t="shared" si="980"/>
        <v>23722</v>
      </c>
      <c r="N903" s="133">
        <f>SUM(B903:M903)</f>
        <v>240952</v>
      </c>
      <c r="O903" s="19">
        <f>IF(N903=0,0,AVERAGE(B903:M903))</f>
        <v>20079.333333333332</v>
      </c>
      <c r="P903" s="8"/>
      <c r="Q903" s="8"/>
      <c r="R903" s="8"/>
      <c r="S903" s="8"/>
      <c r="T903" s="8"/>
      <c r="U903" s="8"/>
      <c r="V903" s="8"/>
      <c r="W903" s="8"/>
      <c r="X903" s="8"/>
      <c r="Y903" s="8"/>
      <c r="Z903" s="8"/>
    </row>
    <row r="904" spans="1:26" s="9" customFormat="1" ht="15.75">
      <c r="A904" s="240" t="s">
        <v>155</v>
      </c>
      <c r="B904" s="333">
        <f t="shared" ref="B904:C904" si="981">SUM(B902:B903)</f>
        <v>21602</v>
      </c>
      <c r="C904" s="333">
        <f t="shared" si="981"/>
        <v>23051</v>
      </c>
      <c r="D904" s="333">
        <f t="shared" ref="D904:E904" si="982">SUM(D902:D903)</f>
        <v>23048</v>
      </c>
      <c r="E904" s="333">
        <f t="shared" si="982"/>
        <v>24135</v>
      </c>
      <c r="F904" s="333">
        <f t="shared" ref="F904:G904" si="983">SUM(F902:F903)</f>
        <v>24884</v>
      </c>
      <c r="G904" s="333">
        <f t="shared" si="983"/>
        <v>25017</v>
      </c>
      <c r="H904" s="333">
        <f t="shared" ref="H904:I904" si="984">SUM(H902:H903)</f>
        <v>27373</v>
      </c>
      <c r="I904" s="333">
        <f t="shared" si="984"/>
        <v>39096</v>
      </c>
      <c r="J904" s="333">
        <f t="shared" ref="J904:K904" si="985">SUM(J902:J903)</f>
        <v>31098</v>
      </c>
      <c r="K904" s="333">
        <f t="shared" si="985"/>
        <v>30588</v>
      </c>
      <c r="L904" s="333">
        <f t="shared" ref="L904:M904" si="986">SUM(L902:L903)</f>
        <v>32892</v>
      </c>
      <c r="M904" s="333">
        <f t="shared" si="986"/>
        <v>32665</v>
      </c>
      <c r="N904" s="334">
        <f>SUM(N902:N903)</f>
        <v>335449</v>
      </c>
      <c r="O904" s="335">
        <f>SUM(O902:O903)</f>
        <v>27954.083333333332</v>
      </c>
    </row>
    <row r="905" spans="1:26" s="9" customFormat="1">
      <c r="A905" s="80"/>
      <c r="B905" s="101"/>
      <c r="C905" s="101"/>
      <c r="D905" s="101"/>
      <c r="E905" s="101"/>
      <c r="F905" s="101"/>
      <c r="G905" s="101"/>
      <c r="H905" s="101"/>
      <c r="I905" s="101"/>
      <c r="J905" s="101"/>
      <c r="K905" s="101"/>
      <c r="L905" s="101"/>
      <c r="M905" s="101"/>
      <c r="N905" s="151"/>
      <c r="O905" s="102"/>
      <c r="P905" s="8"/>
      <c r="Q905" s="8"/>
      <c r="R905" s="8"/>
      <c r="S905" s="8"/>
      <c r="T905" s="8"/>
      <c r="U905" s="8"/>
      <c r="V905" s="8"/>
      <c r="W905" s="8"/>
      <c r="X905" s="8"/>
      <c r="Y905" s="8"/>
      <c r="Z905" s="8"/>
    </row>
    <row r="906" spans="1:26" s="9" customFormat="1" ht="15.75">
      <c r="A906" s="14" t="s">
        <v>753</v>
      </c>
      <c r="B906" s="15"/>
      <c r="C906" s="15"/>
      <c r="D906" s="15"/>
      <c r="E906" s="15"/>
      <c r="F906" s="15"/>
      <c r="G906" s="15"/>
      <c r="H906" s="15"/>
      <c r="I906" s="15"/>
      <c r="J906" s="15"/>
      <c r="K906" s="15"/>
      <c r="L906" s="15"/>
      <c r="M906" s="15"/>
      <c r="N906" s="132"/>
      <c r="O906" s="16"/>
      <c r="P906" s="8"/>
      <c r="Q906" s="8"/>
      <c r="R906" s="8"/>
      <c r="S906" s="8"/>
      <c r="T906" s="8"/>
      <c r="U906" s="8"/>
      <c r="V906" s="8"/>
      <c r="W906" s="8"/>
      <c r="X906" s="8"/>
      <c r="Y906" s="8"/>
      <c r="Z906" s="8"/>
    </row>
    <row r="907" spans="1:26" s="9" customFormat="1" ht="15.75">
      <c r="A907" s="60" t="s">
        <v>669</v>
      </c>
      <c r="B907" s="15"/>
      <c r="C907" s="15"/>
      <c r="D907" s="15"/>
      <c r="E907" s="15"/>
      <c r="F907" s="15"/>
      <c r="G907" s="15"/>
      <c r="H907" s="15"/>
      <c r="I907" s="15"/>
      <c r="J907" s="15"/>
      <c r="K907" s="15"/>
      <c r="L907" s="15"/>
      <c r="M907" s="15"/>
      <c r="N907" s="132"/>
      <c r="O907" s="16"/>
      <c r="P907" s="8"/>
      <c r="Q907" s="8"/>
      <c r="R907" s="8"/>
      <c r="S907" s="8"/>
      <c r="T907" s="8"/>
      <c r="U907" s="8"/>
      <c r="V907" s="8"/>
      <c r="W907" s="8"/>
      <c r="X907" s="8"/>
      <c r="Y907" s="8"/>
      <c r="Z907" s="8"/>
    </row>
    <row r="908" spans="1:26" s="9" customFormat="1" ht="15.75">
      <c r="A908" s="37" t="s">
        <v>18</v>
      </c>
      <c r="B908" s="18">
        <v>0</v>
      </c>
      <c r="C908" s="18">
        <v>0</v>
      </c>
      <c r="D908" s="18">
        <v>0</v>
      </c>
      <c r="E908" s="18">
        <v>0</v>
      </c>
      <c r="F908" s="18">
        <v>0</v>
      </c>
      <c r="G908" s="18">
        <v>0</v>
      </c>
      <c r="H908" s="18">
        <v>0</v>
      </c>
      <c r="I908" s="18">
        <v>0</v>
      </c>
      <c r="J908" s="18">
        <v>0</v>
      </c>
      <c r="K908" s="18">
        <v>0</v>
      </c>
      <c r="L908" s="18">
        <v>0</v>
      </c>
      <c r="M908" s="18">
        <v>0</v>
      </c>
      <c r="N908" s="133">
        <f>SUM(B908:M908)</f>
        <v>0</v>
      </c>
      <c r="O908" s="19">
        <f>IF(N908=0,0,AVERAGE(B908:M908))</f>
        <v>0</v>
      </c>
      <c r="P908" s="8"/>
      <c r="Q908" s="8"/>
      <c r="R908" s="8"/>
      <c r="S908" s="8"/>
      <c r="T908" s="8"/>
      <c r="U908" s="8"/>
      <c r="V908" s="8"/>
      <c r="W908" s="8"/>
      <c r="X908" s="8"/>
      <c r="Y908" s="8"/>
      <c r="Z908" s="8"/>
    </row>
    <row r="909" spans="1:26" s="9" customFormat="1" ht="15.75">
      <c r="A909" s="37" t="s">
        <v>19</v>
      </c>
      <c r="B909" s="18">
        <v>0</v>
      </c>
      <c r="C909" s="18">
        <v>0</v>
      </c>
      <c r="D909" s="18">
        <v>0</v>
      </c>
      <c r="E909" s="18">
        <v>0</v>
      </c>
      <c r="F909" s="18">
        <v>0</v>
      </c>
      <c r="G909" s="18">
        <v>0</v>
      </c>
      <c r="H909" s="18">
        <v>0</v>
      </c>
      <c r="I909" s="18">
        <v>0</v>
      </c>
      <c r="J909" s="18">
        <v>0</v>
      </c>
      <c r="K909" s="18">
        <v>0</v>
      </c>
      <c r="L909" s="18">
        <v>0</v>
      </c>
      <c r="M909" s="18">
        <v>0</v>
      </c>
      <c r="N909" s="133">
        <f>SUM(B909:M909)</f>
        <v>0</v>
      </c>
      <c r="O909" s="19">
        <f>IF(N909=0,0,AVERAGE(B909:M909))</f>
        <v>0</v>
      </c>
      <c r="P909" s="8"/>
      <c r="Q909" s="8"/>
      <c r="R909" s="8"/>
      <c r="S909" s="8"/>
      <c r="T909" s="8"/>
      <c r="U909" s="8"/>
      <c r="V909" s="8"/>
      <c r="W909" s="8"/>
      <c r="X909" s="8"/>
      <c r="Y909" s="8"/>
      <c r="Z909" s="8"/>
    </row>
    <row r="910" spans="1:26" s="9" customFormat="1" ht="15.75">
      <c r="A910" s="37" t="s">
        <v>20</v>
      </c>
      <c r="B910" s="18">
        <v>0</v>
      </c>
      <c r="C910" s="18">
        <v>0</v>
      </c>
      <c r="D910" s="18">
        <v>0</v>
      </c>
      <c r="E910" s="18">
        <v>0</v>
      </c>
      <c r="F910" s="18">
        <v>0</v>
      </c>
      <c r="G910" s="18">
        <v>0</v>
      </c>
      <c r="H910" s="18">
        <v>0</v>
      </c>
      <c r="I910" s="18">
        <v>0</v>
      </c>
      <c r="J910" s="18">
        <v>0</v>
      </c>
      <c r="K910" s="18">
        <v>0</v>
      </c>
      <c r="L910" s="18">
        <v>0</v>
      </c>
      <c r="M910" s="18">
        <v>0</v>
      </c>
      <c r="N910" s="133">
        <f>SUM(B910:M910)</f>
        <v>0</v>
      </c>
      <c r="O910" s="19">
        <f>IF(N910=0,0,AVERAGE(B910:M910))</f>
        <v>0</v>
      </c>
      <c r="P910" s="8"/>
      <c r="Q910" s="8"/>
      <c r="R910" s="8"/>
      <c r="S910" s="8"/>
      <c r="T910" s="8"/>
      <c r="U910" s="8"/>
      <c r="V910" s="8"/>
      <c r="W910" s="8"/>
      <c r="X910" s="8"/>
      <c r="Y910" s="8"/>
      <c r="Z910" s="8"/>
    </row>
    <row r="911" spans="1:26" s="9" customFormat="1" ht="15.75">
      <c r="A911" s="56" t="s">
        <v>21</v>
      </c>
      <c r="B911" s="21">
        <f t="shared" ref="B911:C911" si="987">SUM(B908:B910)</f>
        <v>0</v>
      </c>
      <c r="C911" s="21">
        <f t="shared" si="987"/>
        <v>0</v>
      </c>
      <c r="D911" s="21">
        <f t="shared" ref="D911:E911" si="988">SUM(D908:D910)</f>
        <v>0</v>
      </c>
      <c r="E911" s="21">
        <f t="shared" si="988"/>
        <v>0</v>
      </c>
      <c r="F911" s="21">
        <f t="shared" ref="F911:G911" si="989">SUM(F908:F910)</f>
        <v>0</v>
      </c>
      <c r="G911" s="21">
        <f t="shared" si="989"/>
        <v>0</v>
      </c>
      <c r="H911" s="21">
        <f t="shared" ref="H911:I911" si="990">SUM(H908:H910)</f>
        <v>0</v>
      </c>
      <c r="I911" s="21">
        <f t="shared" si="990"/>
        <v>0</v>
      </c>
      <c r="J911" s="21">
        <f t="shared" ref="J911:K911" si="991">SUM(J908:J910)</f>
        <v>0</v>
      </c>
      <c r="K911" s="21">
        <f t="shared" si="991"/>
        <v>0</v>
      </c>
      <c r="L911" s="21">
        <f t="shared" ref="L911:M911" si="992">SUM(L908:L910)</f>
        <v>0</v>
      </c>
      <c r="M911" s="21">
        <f t="shared" si="992"/>
        <v>0</v>
      </c>
      <c r="N911" s="128">
        <f>SUM(N908:N910)</f>
        <v>0</v>
      </c>
      <c r="O911" s="22">
        <f>SUM(O908:O910)</f>
        <v>0</v>
      </c>
      <c r="P911" s="8"/>
      <c r="Q911" s="8"/>
      <c r="R911" s="8"/>
      <c r="S911" s="8"/>
      <c r="T911" s="8"/>
      <c r="U911" s="8"/>
      <c r="V911" s="8"/>
      <c r="W911" s="8"/>
      <c r="X911" s="8"/>
      <c r="Y911" s="8"/>
      <c r="Z911" s="8"/>
    </row>
    <row r="912" spans="1:26" s="9" customFormat="1" ht="15.75">
      <c r="A912" s="56" t="s">
        <v>112</v>
      </c>
      <c r="B912" s="22" t="s">
        <v>44</v>
      </c>
      <c r="C912" s="22" t="s">
        <v>44</v>
      </c>
      <c r="D912" s="22" t="s">
        <v>44</v>
      </c>
      <c r="E912" s="22" t="s">
        <v>44</v>
      </c>
      <c r="F912" s="22" t="s">
        <v>44</v>
      </c>
      <c r="G912" s="22" t="s">
        <v>44</v>
      </c>
      <c r="H912" s="22" t="s">
        <v>44</v>
      </c>
      <c r="I912" s="22" t="s">
        <v>44</v>
      </c>
      <c r="J912" s="22" t="s">
        <v>44</v>
      </c>
      <c r="K912" s="22" t="s">
        <v>44</v>
      </c>
      <c r="L912" s="22" t="s">
        <v>44</v>
      </c>
      <c r="M912" s="22" t="s">
        <v>44</v>
      </c>
      <c r="N912" s="128">
        <f>SUM(B912:M912)</f>
        <v>0</v>
      </c>
      <c r="O912" s="22">
        <f>IF(N912=0,0,AVERAGE(B912:M912))</f>
        <v>0</v>
      </c>
      <c r="P912" s="8"/>
      <c r="Q912" s="8"/>
      <c r="R912" s="8"/>
      <c r="S912" s="8"/>
      <c r="T912" s="8"/>
      <c r="U912" s="8"/>
      <c r="V912" s="8"/>
      <c r="W912" s="8"/>
      <c r="X912" s="8"/>
      <c r="Y912" s="8"/>
      <c r="Z912" s="8"/>
    </row>
    <row r="913" spans="1:26" s="9" customFormat="1" ht="15.75">
      <c r="A913" s="82"/>
      <c r="B913" s="83"/>
      <c r="C913" s="83"/>
      <c r="D913" s="83"/>
      <c r="E913" s="83"/>
      <c r="F913" s="83"/>
      <c r="G913" s="83"/>
      <c r="H913" s="83"/>
      <c r="I913" s="83"/>
      <c r="J913" s="83"/>
      <c r="K913" s="83"/>
      <c r="L913" s="83"/>
      <c r="M913" s="83"/>
      <c r="N913" s="148"/>
      <c r="O913" s="84"/>
      <c r="P913" s="8"/>
      <c r="Q913" s="8"/>
      <c r="R913" s="8"/>
      <c r="S913" s="8"/>
      <c r="T913" s="8"/>
      <c r="U913" s="8"/>
      <c r="V913" s="8"/>
      <c r="W913" s="8"/>
      <c r="X913" s="8"/>
      <c r="Y913" s="8"/>
      <c r="Z913" s="8"/>
    </row>
    <row r="914" spans="1:26" s="9" customFormat="1" ht="15.75">
      <c r="A914" s="60" t="s">
        <v>670</v>
      </c>
      <c r="B914" s="15"/>
      <c r="C914" s="15"/>
      <c r="D914" s="15"/>
      <c r="E914" s="15"/>
      <c r="F914" s="15"/>
      <c r="G914" s="15"/>
      <c r="H914" s="15"/>
      <c r="I914" s="15"/>
      <c r="J914" s="15"/>
      <c r="K914" s="15"/>
      <c r="L914" s="15"/>
      <c r="M914" s="15"/>
      <c r="N914" s="132"/>
      <c r="O914" s="16"/>
      <c r="P914" s="8"/>
      <c r="Q914" s="8"/>
      <c r="R914" s="8"/>
      <c r="S914" s="8"/>
      <c r="T914" s="8"/>
      <c r="U914" s="8"/>
      <c r="V914" s="8"/>
      <c r="W914" s="8"/>
      <c r="X914" s="8"/>
      <c r="Y914" s="8"/>
      <c r="Z914" s="8"/>
    </row>
    <row r="915" spans="1:26" s="9" customFormat="1" ht="15.75">
      <c r="A915" s="97" t="s">
        <v>114</v>
      </c>
      <c r="B915" s="98">
        <v>22</v>
      </c>
      <c r="C915" s="98">
        <v>20</v>
      </c>
      <c r="D915" s="98">
        <v>12</v>
      </c>
      <c r="E915" s="98">
        <v>11</v>
      </c>
      <c r="F915" s="98">
        <v>14</v>
      </c>
      <c r="G915" s="98">
        <v>18</v>
      </c>
      <c r="H915" s="98">
        <v>18</v>
      </c>
      <c r="I915" s="98">
        <v>20</v>
      </c>
      <c r="J915" s="98">
        <v>15</v>
      </c>
      <c r="K915" s="98">
        <v>17</v>
      </c>
      <c r="L915" s="98">
        <v>17</v>
      </c>
      <c r="M915" s="98">
        <v>24</v>
      </c>
      <c r="N915" s="133">
        <f>SUM(B915:M915)</f>
        <v>208</v>
      </c>
      <c r="O915" s="19">
        <f>IF(N915=0,0,AVERAGE(B915:M915))</f>
        <v>17.333333333333332</v>
      </c>
      <c r="P915" s="8"/>
      <c r="Q915" s="8"/>
      <c r="R915" s="8"/>
      <c r="S915" s="8"/>
      <c r="T915" s="8"/>
      <c r="U915" s="8"/>
      <c r="V915" s="8"/>
      <c r="W915" s="8"/>
      <c r="X915" s="8"/>
      <c r="Y915" s="8"/>
      <c r="Z915" s="8"/>
    </row>
    <row r="916" spans="1:26" s="9" customFormat="1" ht="15.75">
      <c r="A916" s="56" t="s">
        <v>21</v>
      </c>
      <c r="B916" s="21">
        <f t="shared" ref="B916:C916" si="993">SUM(B915)</f>
        <v>22</v>
      </c>
      <c r="C916" s="21">
        <f t="shared" si="993"/>
        <v>20</v>
      </c>
      <c r="D916" s="21">
        <f t="shared" ref="D916:E916" si="994">SUM(D915)</f>
        <v>12</v>
      </c>
      <c r="E916" s="21">
        <f t="shared" si="994"/>
        <v>11</v>
      </c>
      <c r="F916" s="21">
        <f t="shared" ref="F916:G916" si="995">SUM(F915)</f>
        <v>14</v>
      </c>
      <c r="G916" s="21">
        <f t="shared" si="995"/>
        <v>18</v>
      </c>
      <c r="H916" s="21">
        <f t="shared" ref="H916:I916" si="996">SUM(H915)</f>
        <v>18</v>
      </c>
      <c r="I916" s="21">
        <f t="shared" si="996"/>
        <v>20</v>
      </c>
      <c r="J916" s="21">
        <f t="shared" ref="J916:K916" si="997">SUM(J915)</f>
        <v>15</v>
      </c>
      <c r="K916" s="21">
        <f t="shared" si="997"/>
        <v>17</v>
      </c>
      <c r="L916" s="21">
        <f t="shared" ref="L916:M916" si="998">SUM(L915)</f>
        <v>17</v>
      </c>
      <c r="M916" s="21">
        <f t="shared" si="998"/>
        <v>24</v>
      </c>
      <c r="N916" s="128">
        <f>SUM(N915)</f>
        <v>208</v>
      </c>
      <c r="O916" s="22">
        <f>SUM(O915)</f>
        <v>17.333333333333332</v>
      </c>
      <c r="P916" s="8"/>
      <c r="Q916" s="8"/>
      <c r="R916" s="8"/>
      <c r="S916" s="8"/>
      <c r="T916" s="8"/>
      <c r="U916" s="8"/>
      <c r="V916" s="8"/>
      <c r="W916" s="8"/>
      <c r="X916" s="8"/>
      <c r="Y916" s="8"/>
      <c r="Z916" s="8"/>
    </row>
    <row r="917" spans="1:26" s="9" customFormat="1" ht="15.75">
      <c r="A917" s="56" t="s">
        <v>112</v>
      </c>
      <c r="B917" s="22">
        <f t="shared" ref="B917:G917" si="999">IF(B916=0,"",B916/B$1676)</f>
        <v>0.70967741935483875</v>
      </c>
      <c r="C917" s="22">
        <f t="shared" si="999"/>
        <v>0.7142857142857143</v>
      </c>
      <c r="D917" s="22">
        <f t="shared" si="999"/>
        <v>0.38709677419354838</v>
      </c>
      <c r="E917" s="22">
        <f t="shared" si="999"/>
        <v>0.36666666666666664</v>
      </c>
      <c r="F917" s="22">
        <f t="shared" si="999"/>
        <v>0.45161290322580644</v>
      </c>
      <c r="G917" s="22">
        <f t="shared" si="999"/>
        <v>0.6</v>
      </c>
      <c r="H917" s="22">
        <f t="shared" ref="H917:I917" si="1000">IF(H916=0,"",H916/H$1676)</f>
        <v>0.58064516129032262</v>
      </c>
      <c r="I917" s="22">
        <f t="shared" si="1000"/>
        <v>0.64516129032258063</v>
      </c>
      <c r="J917" s="22">
        <f t="shared" ref="J917:K917" si="1001">IF(J916=0,"",J916/J$1676)</f>
        <v>0.5</v>
      </c>
      <c r="K917" s="22">
        <f t="shared" si="1001"/>
        <v>0.54838709677419351</v>
      </c>
      <c r="L917" s="22">
        <f t="shared" ref="L917:M917" si="1002">IF(L916=0,"",L916/L$1676)</f>
        <v>0.56666666666666665</v>
      </c>
      <c r="M917" s="22">
        <f t="shared" si="1002"/>
        <v>0.77419354838709675</v>
      </c>
      <c r="N917" s="128">
        <f>SUM(B917:M917)</f>
        <v>6.8443932411674355</v>
      </c>
      <c r="O917" s="22">
        <f>IF(N917=0,0,AVERAGE(B917:M917))</f>
        <v>0.57036610343061966</v>
      </c>
    </row>
    <row r="918" spans="1:26" s="9" customFormat="1">
      <c r="A918" s="80"/>
      <c r="B918" s="101"/>
      <c r="C918" s="101"/>
      <c r="D918" s="101"/>
      <c r="E918" s="101"/>
      <c r="F918" s="101"/>
      <c r="G918" s="101"/>
      <c r="H918" s="101"/>
      <c r="I918" s="101"/>
      <c r="J918" s="101"/>
      <c r="K918" s="101"/>
      <c r="L918" s="101"/>
      <c r="M918" s="101"/>
      <c r="N918" s="151"/>
      <c r="O918" s="102"/>
      <c r="P918" s="8"/>
      <c r="Q918" s="8"/>
      <c r="R918" s="8"/>
      <c r="S918" s="8"/>
      <c r="T918" s="8"/>
      <c r="U918" s="8"/>
      <c r="V918" s="8"/>
      <c r="W918" s="8"/>
      <c r="X918" s="8"/>
      <c r="Y918" s="8"/>
      <c r="Z918" s="8"/>
    </row>
    <row r="919" spans="1:26" s="9" customFormat="1" ht="15.75">
      <c r="A919" s="90" t="s">
        <v>153</v>
      </c>
      <c r="B919" s="86">
        <f t="shared" ref="B919:C919" si="1003">B911</f>
        <v>0</v>
      </c>
      <c r="C919" s="86">
        <f t="shared" si="1003"/>
        <v>0</v>
      </c>
      <c r="D919" s="86">
        <f t="shared" ref="D919:E919" si="1004">D911</f>
        <v>0</v>
      </c>
      <c r="E919" s="86">
        <f t="shared" si="1004"/>
        <v>0</v>
      </c>
      <c r="F919" s="86">
        <f t="shared" ref="F919:G919" si="1005">F911</f>
        <v>0</v>
      </c>
      <c r="G919" s="86">
        <f t="shared" si="1005"/>
        <v>0</v>
      </c>
      <c r="H919" s="86">
        <f t="shared" ref="H919:I919" si="1006">H911</f>
        <v>0</v>
      </c>
      <c r="I919" s="86">
        <f t="shared" si="1006"/>
        <v>0</v>
      </c>
      <c r="J919" s="86">
        <f t="shared" ref="J919:K919" si="1007">J911</f>
        <v>0</v>
      </c>
      <c r="K919" s="86">
        <f t="shared" si="1007"/>
        <v>0</v>
      </c>
      <c r="L919" s="86">
        <f t="shared" ref="L919:M919" si="1008">L911</f>
        <v>0</v>
      </c>
      <c r="M919" s="86">
        <f t="shared" si="1008"/>
        <v>0</v>
      </c>
      <c r="N919" s="133">
        <v>0</v>
      </c>
      <c r="O919" s="19">
        <f>O911</f>
        <v>0</v>
      </c>
      <c r="P919" s="8"/>
      <c r="Q919" s="8"/>
      <c r="R919" s="8"/>
      <c r="S919" s="8"/>
      <c r="T919" s="8"/>
      <c r="U919" s="8"/>
      <c r="V919" s="8"/>
      <c r="W919" s="8"/>
      <c r="X919" s="8"/>
      <c r="Y919" s="8"/>
      <c r="Z919" s="8"/>
    </row>
    <row r="920" spans="1:26" s="9" customFormat="1" ht="15.75">
      <c r="A920" s="90" t="s">
        <v>154</v>
      </c>
      <c r="B920" s="86">
        <f t="shared" ref="B920:C920" si="1009">B916</f>
        <v>22</v>
      </c>
      <c r="C920" s="86">
        <f t="shared" si="1009"/>
        <v>20</v>
      </c>
      <c r="D920" s="86">
        <f t="shared" ref="D920:E920" si="1010">D916</f>
        <v>12</v>
      </c>
      <c r="E920" s="86">
        <f t="shared" si="1010"/>
        <v>11</v>
      </c>
      <c r="F920" s="86">
        <f t="shared" ref="F920:G920" si="1011">F916</f>
        <v>14</v>
      </c>
      <c r="G920" s="86">
        <f t="shared" si="1011"/>
        <v>18</v>
      </c>
      <c r="H920" s="86">
        <f t="shared" ref="H920:I920" si="1012">H916</f>
        <v>18</v>
      </c>
      <c r="I920" s="86">
        <f t="shared" si="1012"/>
        <v>20</v>
      </c>
      <c r="J920" s="86">
        <f t="shared" ref="J920:K920" si="1013">J916</f>
        <v>15</v>
      </c>
      <c r="K920" s="86">
        <f t="shared" si="1013"/>
        <v>17</v>
      </c>
      <c r="L920" s="86">
        <f t="shared" ref="L920:M920" si="1014">L916</f>
        <v>17</v>
      </c>
      <c r="M920" s="86">
        <f t="shared" si="1014"/>
        <v>24</v>
      </c>
      <c r="N920" s="133">
        <f>SUM(B920:M920)</f>
        <v>208</v>
      </c>
      <c r="O920" s="19">
        <f>IF(N920=0,0,AVERAGE(B920:M920))</f>
        <v>17.333333333333332</v>
      </c>
      <c r="P920" s="8"/>
      <c r="Q920" s="8"/>
      <c r="R920" s="8"/>
      <c r="S920" s="8"/>
      <c r="T920" s="8"/>
      <c r="U920" s="8"/>
      <c r="V920" s="8"/>
      <c r="W920" s="8"/>
      <c r="X920" s="8"/>
      <c r="Y920" s="8"/>
      <c r="Z920" s="8"/>
    </row>
    <row r="921" spans="1:26" s="9" customFormat="1" ht="15.75">
      <c r="A921" s="342" t="s">
        <v>155</v>
      </c>
      <c r="B921" s="333">
        <f t="shared" ref="B921:C921" si="1015">SUM(B919:B920)</f>
        <v>22</v>
      </c>
      <c r="C921" s="333">
        <f t="shared" si="1015"/>
        <v>20</v>
      </c>
      <c r="D921" s="333">
        <f t="shared" ref="D921:E921" si="1016">SUM(D919:D920)</f>
        <v>12</v>
      </c>
      <c r="E921" s="333">
        <f t="shared" si="1016"/>
        <v>11</v>
      </c>
      <c r="F921" s="333">
        <f t="shared" ref="F921:G921" si="1017">SUM(F919:F920)</f>
        <v>14</v>
      </c>
      <c r="G921" s="333">
        <f t="shared" si="1017"/>
        <v>18</v>
      </c>
      <c r="H921" s="333">
        <f t="shared" ref="H921:I921" si="1018">SUM(H919:H920)</f>
        <v>18</v>
      </c>
      <c r="I921" s="333">
        <f t="shared" si="1018"/>
        <v>20</v>
      </c>
      <c r="J921" s="333">
        <f t="shared" ref="J921:K921" si="1019">SUM(J919:J920)</f>
        <v>15</v>
      </c>
      <c r="K921" s="333">
        <f t="shared" si="1019"/>
        <v>17</v>
      </c>
      <c r="L921" s="333">
        <f t="shared" ref="L921:M921" si="1020">SUM(L919:L920)</f>
        <v>17</v>
      </c>
      <c r="M921" s="333">
        <f t="shared" si="1020"/>
        <v>24</v>
      </c>
      <c r="N921" s="334">
        <f>SUM(N919:N920)</f>
        <v>208</v>
      </c>
      <c r="O921" s="335">
        <f>SUM(O919:O920)</f>
        <v>17.333333333333332</v>
      </c>
      <c r="P921" s="8"/>
      <c r="Q921" s="8"/>
      <c r="R921" s="8"/>
      <c r="S921" s="8"/>
      <c r="T921" s="8"/>
      <c r="U921" s="8"/>
      <c r="V921" s="8"/>
      <c r="W921" s="8"/>
      <c r="X921" s="8"/>
      <c r="Y921" s="8"/>
      <c r="Z921" s="8"/>
    </row>
    <row r="922" spans="1:26" s="9" customFormat="1" ht="15.75">
      <c r="A922" s="82"/>
      <c r="B922" s="83"/>
      <c r="C922" s="83"/>
      <c r="D922" s="83"/>
      <c r="E922" s="83"/>
      <c r="F922" s="83"/>
      <c r="G922" s="83"/>
      <c r="H922" s="83"/>
      <c r="I922" s="83"/>
      <c r="J922" s="83"/>
      <c r="K922" s="83"/>
      <c r="L922" s="83"/>
      <c r="M922" s="83"/>
      <c r="N922" s="148"/>
      <c r="O922" s="84"/>
      <c r="P922" s="8"/>
      <c r="Q922" s="8"/>
      <c r="R922" s="8"/>
      <c r="S922" s="8"/>
      <c r="T922" s="8"/>
      <c r="U922" s="8"/>
      <c r="V922" s="8"/>
      <c r="W922" s="8"/>
      <c r="X922" s="8"/>
      <c r="Y922" s="8"/>
      <c r="Z922" s="8"/>
    </row>
    <row r="923" spans="1:26" s="9" customFormat="1" ht="15.75">
      <c r="A923" s="14" t="s">
        <v>754</v>
      </c>
      <c r="B923" s="15"/>
      <c r="C923" s="15"/>
      <c r="D923" s="15"/>
      <c r="E923" s="15"/>
      <c r="F923" s="15"/>
      <c r="G923" s="15"/>
      <c r="H923" s="15"/>
      <c r="I923" s="15"/>
      <c r="J923" s="15"/>
      <c r="K923" s="15"/>
      <c r="L923" s="15"/>
      <c r="M923" s="15"/>
      <c r="N923" s="132"/>
      <c r="O923" s="16"/>
    </row>
    <row r="924" spans="1:26" s="9" customFormat="1" ht="15.75">
      <c r="A924" s="60" t="s">
        <v>755</v>
      </c>
      <c r="B924" s="15"/>
      <c r="C924" s="15"/>
      <c r="D924" s="15"/>
      <c r="E924" s="15"/>
      <c r="F924" s="15"/>
      <c r="G924" s="15"/>
      <c r="H924" s="15"/>
      <c r="I924" s="15"/>
      <c r="J924" s="15"/>
      <c r="K924" s="15"/>
      <c r="L924" s="15"/>
      <c r="M924" s="15"/>
      <c r="N924" s="132"/>
      <c r="O924" s="16"/>
    </row>
    <row r="925" spans="1:26" s="9" customFormat="1" ht="15.75">
      <c r="A925" s="37" t="s">
        <v>18</v>
      </c>
      <c r="B925" s="18">
        <v>0</v>
      </c>
      <c r="C925" s="18">
        <v>0</v>
      </c>
      <c r="D925" s="18">
        <v>0</v>
      </c>
      <c r="E925" s="18">
        <v>0</v>
      </c>
      <c r="F925" s="18">
        <v>0</v>
      </c>
      <c r="G925" s="18">
        <v>0</v>
      </c>
      <c r="H925" s="18">
        <v>0</v>
      </c>
      <c r="I925" s="18">
        <v>0</v>
      </c>
      <c r="J925" s="18">
        <v>0</v>
      </c>
      <c r="K925" s="18">
        <v>0</v>
      </c>
      <c r="L925" s="18">
        <v>0</v>
      </c>
      <c r="M925" s="18">
        <v>0</v>
      </c>
      <c r="N925" s="133">
        <f>SUM(B925:M925)</f>
        <v>0</v>
      </c>
      <c r="O925" s="19">
        <f>IF(N925=0,0,AVERAGE(B925:M925))</f>
        <v>0</v>
      </c>
    </row>
    <row r="926" spans="1:26" s="9" customFormat="1" ht="15.75">
      <c r="A926" s="37" t="s">
        <v>19</v>
      </c>
      <c r="B926" s="18">
        <v>0</v>
      </c>
      <c r="C926" s="18">
        <v>0</v>
      </c>
      <c r="D926" s="18">
        <v>0</v>
      </c>
      <c r="E926" s="18">
        <v>0</v>
      </c>
      <c r="F926" s="18">
        <v>0</v>
      </c>
      <c r="G926" s="18">
        <v>0</v>
      </c>
      <c r="H926" s="18">
        <v>0</v>
      </c>
      <c r="I926" s="18">
        <v>0</v>
      </c>
      <c r="J926" s="18">
        <v>0</v>
      </c>
      <c r="K926" s="18">
        <v>0</v>
      </c>
      <c r="L926" s="18">
        <v>0</v>
      </c>
      <c r="M926" s="18">
        <v>0</v>
      </c>
      <c r="N926" s="133">
        <f>SUM(B926:M926)</f>
        <v>0</v>
      </c>
      <c r="O926" s="19">
        <f>IF(N926=0,0,AVERAGE(B926:M926))</f>
        <v>0</v>
      </c>
    </row>
    <row r="927" spans="1:26" s="9" customFormat="1" ht="15.75">
      <c r="A927" s="37" t="s">
        <v>20</v>
      </c>
      <c r="B927" s="18">
        <v>0</v>
      </c>
      <c r="C927" s="18">
        <v>0</v>
      </c>
      <c r="D927" s="18">
        <v>0</v>
      </c>
      <c r="E927" s="18">
        <v>0</v>
      </c>
      <c r="F927" s="18">
        <v>0</v>
      </c>
      <c r="G927" s="18">
        <v>0</v>
      </c>
      <c r="H927" s="18">
        <v>0</v>
      </c>
      <c r="I927" s="18">
        <v>0</v>
      </c>
      <c r="J927" s="18">
        <v>0</v>
      </c>
      <c r="K927" s="18">
        <v>0</v>
      </c>
      <c r="L927" s="18">
        <v>0</v>
      </c>
      <c r="M927" s="18">
        <v>0</v>
      </c>
      <c r="N927" s="133">
        <f>SUM(B927:M927)</f>
        <v>0</v>
      </c>
      <c r="O927" s="19">
        <f>IF(N927=0,0,AVERAGE(B927:M927))</f>
        <v>0</v>
      </c>
    </row>
    <row r="928" spans="1:26" s="9" customFormat="1" ht="15.75">
      <c r="A928" s="56" t="s">
        <v>21</v>
      </c>
      <c r="B928" s="21">
        <f t="shared" ref="B928:C928" si="1021">SUM(B925:B927)</f>
        <v>0</v>
      </c>
      <c r="C928" s="21">
        <f t="shared" si="1021"/>
        <v>0</v>
      </c>
      <c r="D928" s="21">
        <f t="shared" ref="D928:E928" si="1022">SUM(D925:D927)</f>
        <v>0</v>
      </c>
      <c r="E928" s="21">
        <f t="shared" si="1022"/>
        <v>0</v>
      </c>
      <c r="F928" s="21">
        <f t="shared" ref="F928:G928" si="1023">SUM(F925:F927)</f>
        <v>0</v>
      </c>
      <c r="G928" s="21">
        <f t="shared" si="1023"/>
        <v>0</v>
      </c>
      <c r="H928" s="21">
        <f t="shared" ref="H928" si="1024">SUM(H925:H927)</f>
        <v>0</v>
      </c>
      <c r="I928" s="21">
        <f t="shared" ref="I928:J928" si="1025">SUM(I925:I927)</f>
        <v>0</v>
      </c>
      <c r="J928" s="21">
        <f t="shared" si="1025"/>
        <v>0</v>
      </c>
      <c r="K928" s="21">
        <f t="shared" ref="K928:L928" si="1026">SUM(K925:K927)</f>
        <v>0</v>
      </c>
      <c r="L928" s="21">
        <f t="shared" si="1026"/>
        <v>0</v>
      </c>
      <c r="M928" s="21">
        <f t="shared" ref="M928" si="1027">SUM(M925:M927)</f>
        <v>0</v>
      </c>
      <c r="N928" s="128">
        <f>SUM(N925:N927)</f>
        <v>0</v>
      </c>
      <c r="O928" s="22">
        <f>SUM(O925:O927)</f>
        <v>0</v>
      </c>
    </row>
    <row r="929" spans="1:26" s="9" customFormat="1" ht="15.75">
      <c r="A929" s="56" t="s">
        <v>112</v>
      </c>
      <c r="B929" s="21" t="s">
        <v>44</v>
      </c>
      <c r="C929" s="21" t="s">
        <v>44</v>
      </c>
      <c r="D929" s="21" t="s">
        <v>44</v>
      </c>
      <c r="E929" s="21" t="s">
        <v>44</v>
      </c>
      <c r="F929" s="21" t="s">
        <v>44</v>
      </c>
      <c r="G929" s="21" t="s">
        <v>44</v>
      </c>
      <c r="H929" s="21" t="s">
        <v>44</v>
      </c>
      <c r="I929" s="21" t="s">
        <v>44</v>
      </c>
      <c r="J929" s="21" t="s">
        <v>44</v>
      </c>
      <c r="K929" s="21" t="s">
        <v>44</v>
      </c>
      <c r="L929" s="21" t="s">
        <v>44</v>
      </c>
      <c r="M929" s="21" t="s">
        <v>44</v>
      </c>
      <c r="N929" s="128">
        <f>SUM(B929:M929)</f>
        <v>0</v>
      </c>
      <c r="O929" s="22">
        <f>IF(N929=0,0,AVERAGE(B929:M929))</f>
        <v>0</v>
      </c>
    </row>
    <row r="930" spans="1:26" s="9" customFormat="1" ht="15.75">
      <c r="A930" s="94"/>
      <c r="B930" s="24"/>
      <c r="C930" s="24"/>
      <c r="D930" s="24"/>
      <c r="E930" s="24"/>
      <c r="F930" s="24"/>
      <c r="G930" s="24"/>
      <c r="H930" s="24"/>
      <c r="I930" s="24"/>
      <c r="J930" s="24"/>
      <c r="K930" s="24"/>
      <c r="L930" s="24"/>
      <c r="M930" s="24"/>
      <c r="N930" s="134"/>
      <c r="O930" s="95"/>
    </row>
    <row r="931" spans="1:26" s="9" customFormat="1" ht="15.75">
      <c r="A931" s="60" t="s">
        <v>756</v>
      </c>
      <c r="B931" s="15"/>
      <c r="C931" s="15"/>
      <c r="D931" s="15"/>
      <c r="E931" s="15"/>
      <c r="F931" s="15"/>
      <c r="G931" s="15"/>
      <c r="H931" s="15"/>
      <c r="I931" s="15"/>
      <c r="J931" s="15"/>
      <c r="K931" s="15"/>
      <c r="L931" s="15"/>
      <c r="M931" s="15"/>
      <c r="N931" s="132"/>
      <c r="O931" s="16"/>
    </row>
    <row r="932" spans="1:26" s="9" customFormat="1" ht="15.75">
      <c r="A932" s="97" t="s">
        <v>114</v>
      </c>
      <c r="B932" s="98">
        <v>78</v>
      </c>
      <c r="C932" s="98">
        <v>96</v>
      </c>
      <c r="D932" s="98">
        <v>71</v>
      </c>
      <c r="E932" s="98">
        <v>73</v>
      </c>
      <c r="F932" s="98">
        <v>119</v>
      </c>
      <c r="G932" s="98">
        <v>82</v>
      </c>
      <c r="H932" s="98">
        <v>99</v>
      </c>
      <c r="I932" s="98">
        <v>110</v>
      </c>
      <c r="J932" s="98">
        <v>116</v>
      </c>
      <c r="K932" s="98">
        <v>80</v>
      </c>
      <c r="L932" s="98">
        <v>82</v>
      </c>
      <c r="M932" s="98">
        <v>61</v>
      </c>
      <c r="N932" s="133">
        <f>SUM(B932:M932)</f>
        <v>1067</v>
      </c>
      <c r="O932" s="19">
        <f>IF(N932=0,0,AVERAGE(B932:M932))</f>
        <v>88.916666666666671</v>
      </c>
      <c r="P932" s="8"/>
      <c r="Q932" s="8"/>
      <c r="R932" s="8"/>
      <c r="S932" s="8"/>
      <c r="T932" s="8"/>
      <c r="U932" s="8"/>
      <c r="V932" s="8"/>
      <c r="W932" s="8"/>
      <c r="X932" s="8"/>
      <c r="Y932" s="8"/>
      <c r="Z932" s="8"/>
    </row>
    <row r="933" spans="1:26" s="9" customFormat="1" ht="15.75">
      <c r="A933" s="56" t="s">
        <v>21</v>
      </c>
      <c r="B933" s="21">
        <f t="shared" ref="B933:C933" si="1028">SUM(B932)</f>
        <v>78</v>
      </c>
      <c r="C933" s="21">
        <f t="shared" si="1028"/>
        <v>96</v>
      </c>
      <c r="D933" s="21">
        <f t="shared" ref="D933:E933" si="1029">SUM(D932)</f>
        <v>71</v>
      </c>
      <c r="E933" s="21">
        <f t="shared" si="1029"/>
        <v>73</v>
      </c>
      <c r="F933" s="21">
        <f t="shared" ref="F933:G933" si="1030">SUM(F932)</f>
        <v>119</v>
      </c>
      <c r="G933" s="21">
        <f t="shared" si="1030"/>
        <v>82</v>
      </c>
      <c r="H933" s="21">
        <f t="shared" ref="H933:I933" si="1031">SUM(H932)</f>
        <v>99</v>
      </c>
      <c r="I933" s="21">
        <f t="shared" si="1031"/>
        <v>110</v>
      </c>
      <c r="J933" s="21">
        <f t="shared" ref="J933:K933" si="1032">SUM(J932)</f>
        <v>116</v>
      </c>
      <c r="K933" s="21">
        <f t="shared" si="1032"/>
        <v>80</v>
      </c>
      <c r="L933" s="21">
        <f t="shared" ref="L933:M933" si="1033">SUM(L932)</f>
        <v>82</v>
      </c>
      <c r="M933" s="21">
        <f t="shared" si="1033"/>
        <v>61</v>
      </c>
      <c r="N933" s="128">
        <f>SUM(N932)</f>
        <v>1067</v>
      </c>
      <c r="O933" s="22">
        <f>SUM(O932)</f>
        <v>88.916666666666671</v>
      </c>
      <c r="P933" s="8"/>
      <c r="Q933" s="8"/>
      <c r="R933" s="8"/>
      <c r="S933" s="8"/>
      <c r="T933" s="8"/>
      <c r="U933" s="8"/>
      <c r="V933" s="8"/>
      <c r="W933" s="8"/>
      <c r="X933" s="8"/>
      <c r="Y933" s="8"/>
      <c r="Z933" s="8"/>
    </row>
    <row r="934" spans="1:26" s="9" customFormat="1" ht="15.75">
      <c r="A934" s="56" t="s">
        <v>112</v>
      </c>
      <c r="B934" s="22">
        <f t="shared" ref="B934:G934" si="1034">IF(B933=0,"",B933/B$1676)</f>
        <v>2.5161290322580645</v>
      </c>
      <c r="C934" s="22">
        <f t="shared" si="1034"/>
        <v>3.4285714285714284</v>
      </c>
      <c r="D934" s="22">
        <f t="shared" si="1034"/>
        <v>2.2903225806451615</v>
      </c>
      <c r="E934" s="22">
        <f t="shared" si="1034"/>
        <v>2.4333333333333331</v>
      </c>
      <c r="F934" s="22">
        <f t="shared" si="1034"/>
        <v>3.838709677419355</v>
      </c>
      <c r="G934" s="22">
        <f t="shared" si="1034"/>
        <v>2.7333333333333334</v>
      </c>
      <c r="H934" s="22">
        <f t="shared" ref="H934:I934" si="1035">IF(H933=0,"",H933/H$1676)</f>
        <v>3.193548387096774</v>
      </c>
      <c r="I934" s="22">
        <f t="shared" si="1035"/>
        <v>3.5483870967741935</v>
      </c>
      <c r="J934" s="22">
        <f t="shared" ref="J934:K934" si="1036">IF(J933=0,"",J933/J$1676)</f>
        <v>3.8666666666666667</v>
      </c>
      <c r="K934" s="22">
        <f t="shared" si="1036"/>
        <v>2.5806451612903225</v>
      </c>
      <c r="L934" s="22">
        <f t="shared" ref="L934:M934" si="1037">IF(L933=0,"",L933/L$1676)</f>
        <v>2.7333333333333334</v>
      </c>
      <c r="M934" s="22">
        <f t="shared" si="1037"/>
        <v>1.967741935483871</v>
      </c>
      <c r="N934" s="128">
        <f>SUM(B934:M934)</f>
        <v>35.13072196620584</v>
      </c>
      <c r="O934" s="22">
        <f>IF(N934=0,0,AVERAGE(B934:M934))</f>
        <v>2.9275601638504867</v>
      </c>
    </row>
    <row r="935" spans="1:26" s="9" customFormat="1" ht="15.75">
      <c r="A935" s="94"/>
      <c r="B935" s="24"/>
      <c r="C935" s="24"/>
      <c r="D935" s="24"/>
      <c r="E935" s="24"/>
      <c r="F935" s="24"/>
      <c r="G935" s="24"/>
      <c r="H935" s="24"/>
      <c r="I935" s="24"/>
      <c r="J935" s="24"/>
      <c r="K935" s="24"/>
      <c r="L935" s="24"/>
      <c r="M935" s="24"/>
      <c r="N935" s="134"/>
      <c r="O935" s="54"/>
    </row>
    <row r="936" spans="1:26" s="9" customFormat="1" ht="15.75">
      <c r="A936" s="85" t="s">
        <v>153</v>
      </c>
      <c r="B936" s="86">
        <f t="shared" ref="B936:C936" si="1038">B928</f>
        <v>0</v>
      </c>
      <c r="C936" s="86">
        <f t="shared" si="1038"/>
        <v>0</v>
      </c>
      <c r="D936" s="86">
        <f t="shared" ref="D936:E936" si="1039">D928</f>
        <v>0</v>
      </c>
      <c r="E936" s="86">
        <f t="shared" si="1039"/>
        <v>0</v>
      </c>
      <c r="F936" s="86">
        <f t="shared" ref="F936:G936" si="1040">F928</f>
        <v>0</v>
      </c>
      <c r="G936" s="86">
        <f t="shared" si="1040"/>
        <v>0</v>
      </c>
      <c r="H936" s="86">
        <f t="shared" ref="H936:I936" si="1041">H928</f>
        <v>0</v>
      </c>
      <c r="I936" s="86">
        <f t="shared" si="1041"/>
        <v>0</v>
      </c>
      <c r="J936" s="86">
        <f t="shared" ref="J936:K936" si="1042">J928</f>
        <v>0</v>
      </c>
      <c r="K936" s="86">
        <f t="shared" si="1042"/>
        <v>0</v>
      </c>
      <c r="L936" s="86">
        <f t="shared" ref="L936:M936" si="1043">L928</f>
        <v>0</v>
      </c>
      <c r="M936" s="86">
        <f t="shared" si="1043"/>
        <v>0</v>
      </c>
      <c r="N936" s="133">
        <f>SUM(B936:M936)</f>
        <v>0</v>
      </c>
      <c r="O936" s="19">
        <f>IF(N936=0,0,AVERAGE(B936:M936))</f>
        <v>0</v>
      </c>
    </row>
    <row r="937" spans="1:26" s="9" customFormat="1" ht="15.75">
      <c r="A937" s="85" t="s">
        <v>154</v>
      </c>
      <c r="B937" s="86">
        <f t="shared" ref="B937:C937" si="1044">B933</f>
        <v>78</v>
      </c>
      <c r="C937" s="86">
        <f t="shared" si="1044"/>
        <v>96</v>
      </c>
      <c r="D937" s="86">
        <f t="shared" ref="D937:E937" si="1045">D933</f>
        <v>71</v>
      </c>
      <c r="E937" s="86">
        <f t="shared" si="1045"/>
        <v>73</v>
      </c>
      <c r="F937" s="86">
        <f t="shared" ref="F937:G937" si="1046">F933</f>
        <v>119</v>
      </c>
      <c r="G937" s="86">
        <f t="shared" si="1046"/>
        <v>82</v>
      </c>
      <c r="H937" s="86">
        <f t="shared" ref="H937:I937" si="1047">H933</f>
        <v>99</v>
      </c>
      <c r="I937" s="86">
        <f t="shared" si="1047"/>
        <v>110</v>
      </c>
      <c r="J937" s="86">
        <f t="shared" ref="J937:K937" si="1048">J933</f>
        <v>116</v>
      </c>
      <c r="K937" s="86">
        <f t="shared" si="1048"/>
        <v>80</v>
      </c>
      <c r="L937" s="86">
        <f t="shared" ref="L937:M937" si="1049">L933</f>
        <v>82</v>
      </c>
      <c r="M937" s="86">
        <f t="shared" si="1049"/>
        <v>61</v>
      </c>
      <c r="N937" s="133">
        <f>SUM(B937:M937)</f>
        <v>1067</v>
      </c>
      <c r="O937" s="19">
        <f>IF(N937=0,0,AVERAGE(B937:M937))</f>
        <v>88.916666666666671</v>
      </c>
    </row>
    <row r="938" spans="1:26" s="9" customFormat="1" ht="15.75">
      <c r="A938" s="342" t="s">
        <v>155</v>
      </c>
      <c r="B938" s="333">
        <f t="shared" ref="B938:C938" si="1050">SUM(B936:B937)</f>
        <v>78</v>
      </c>
      <c r="C938" s="333">
        <f t="shared" si="1050"/>
        <v>96</v>
      </c>
      <c r="D938" s="333">
        <f t="shared" ref="D938:E938" si="1051">SUM(D936:D937)</f>
        <v>71</v>
      </c>
      <c r="E938" s="333">
        <f t="shared" si="1051"/>
        <v>73</v>
      </c>
      <c r="F938" s="333">
        <f t="shared" ref="F938:G938" si="1052">SUM(F936:F937)</f>
        <v>119</v>
      </c>
      <c r="G938" s="333">
        <f t="shared" si="1052"/>
        <v>82</v>
      </c>
      <c r="H938" s="333">
        <f t="shared" ref="H938:I938" si="1053">SUM(H936:H937)</f>
        <v>99</v>
      </c>
      <c r="I938" s="333">
        <f t="shared" si="1053"/>
        <v>110</v>
      </c>
      <c r="J938" s="333">
        <f t="shared" ref="J938:K938" si="1054">SUM(J936:J937)</f>
        <v>116</v>
      </c>
      <c r="K938" s="333">
        <f t="shared" si="1054"/>
        <v>80</v>
      </c>
      <c r="L938" s="333">
        <f t="shared" ref="L938:M938" si="1055">SUM(L936:L937)</f>
        <v>82</v>
      </c>
      <c r="M938" s="333">
        <f t="shared" si="1055"/>
        <v>61</v>
      </c>
      <c r="N938" s="334">
        <f>SUM(N936:N937)</f>
        <v>1067</v>
      </c>
      <c r="O938" s="335">
        <f>SUM(O936:O937)</f>
        <v>88.916666666666671</v>
      </c>
      <c r="P938" s="8"/>
      <c r="Q938" s="8"/>
      <c r="R938" s="8"/>
      <c r="S938" s="8"/>
      <c r="T938" s="8"/>
      <c r="U938" s="8"/>
      <c r="V938" s="8"/>
      <c r="W938" s="8"/>
      <c r="X938" s="8"/>
      <c r="Y938" s="8"/>
      <c r="Z938" s="8"/>
    </row>
    <row r="939" spans="1:26" s="9" customFormat="1" ht="15.75">
      <c r="A939" s="82"/>
      <c r="B939" s="83"/>
      <c r="C939" s="83"/>
      <c r="D939" s="83"/>
      <c r="E939" s="83"/>
      <c r="F939" s="83"/>
      <c r="G939" s="83"/>
      <c r="H939" s="83"/>
      <c r="I939" s="83"/>
      <c r="J939" s="83"/>
      <c r="K939" s="83"/>
      <c r="L939" s="83"/>
      <c r="M939" s="83"/>
      <c r="N939" s="148"/>
      <c r="O939" s="84"/>
      <c r="P939" s="8"/>
      <c r="Q939" s="8"/>
      <c r="R939" s="8"/>
      <c r="S939" s="8"/>
      <c r="T939" s="8"/>
      <c r="U939" s="8"/>
      <c r="V939" s="8"/>
      <c r="W939" s="8"/>
      <c r="X939" s="8"/>
      <c r="Y939" s="8"/>
      <c r="Z939" s="8"/>
    </row>
    <row r="940" spans="1:26" s="9" customFormat="1" ht="15.75">
      <c r="A940" s="352" t="s">
        <v>757</v>
      </c>
      <c r="B940" s="353"/>
      <c r="C940" s="353"/>
      <c r="D940" s="353"/>
      <c r="E940" s="353"/>
      <c r="F940" s="353"/>
      <c r="G940" s="353"/>
      <c r="H940" s="353"/>
      <c r="I940" s="353"/>
      <c r="J940" s="353"/>
      <c r="K940" s="353"/>
      <c r="L940" s="353"/>
      <c r="M940" s="353"/>
      <c r="N940" s="354"/>
      <c r="O940" s="355"/>
      <c r="P940" s="10"/>
      <c r="Q940" s="10"/>
      <c r="R940" s="10"/>
      <c r="S940" s="10"/>
      <c r="T940" s="10"/>
      <c r="U940" s="10"/>
      <c r="V940" s="10"/>
      <c r="W940" s="10"/>
      <c r="X940" s="10"/>
      <c r="Y940" s="10"/>
      <c r="Z940" s="10"/>
    </row>
    <row r="941" spans="1:26" s="9" customFormat="1" ht="15.75">
      <c r="A941" s="356" t="s">
        <v>758</v>
      </c>
      <c r="B941" s="353"/>
      <c r="C941" s="353"/>
      <c r="D941" s="353"/>
      <c r="E941" s="353"/>
      <c r="F941" s="353"/>
      <c r="G941" s="353"/>
      <c r="H941" s="353"/>
      <c r="I941" s="353"/>
      <c r="J941" s="353"/>
      <c r="K941" s="353"/>
      <c r="L941" s="353"/>
      <c r="M941" s="353"/>
      <c r="N941" s="354"/>
      <c r="O941" s="355"/>
      <c r="P941" s="10"/>
      <c r="Q941" s="10"/>
      <c r="R941" s="10"/>
      <c r="S941" s="10"/>
      <c r="T941" s="10"/>
      <c r="U941" s="10"/>
      <c r="V941" s="10"/>
      <c r="W941" s="10"/>
      <c r="X941" s="10"/>
      <c r="Y941" s="10"/>
      <c r="Z941" s="10"/>
    </row>
    <row r="942" spans="1:26" s="9" customFormat="1" ht="15.75">
      <c r="A942" s="104" t="s">
        <v>383</v>
      </c>
      <c r="B942" s="18">
        <f t="shared" ref="B942:C942" si="1056">B970+B1006</f>
        <v>0</v>
      </c>
      <c r="C942" s="18">
        <f t="shared" si="1056"/>
        <v>0</v>
      </c>
      <c r="D942" s="18">
        <f t="shared" ref="D942:E942" si="1057">D970+D1006</f>
        <v>1</v>
      </c>
      <c r="E942" s="18">
        <f t="shared" si="1057"/>
        <v>0</v>
      </c>
      <c r="F942" s="18">
        <f t="shared" ref="F942:G942" si="1058">F970+F1006</f>
        <v>0</v>
      </c>
      <c r="G942" s="18">
        <f t="shared" si="1058"/>
        <v>1</v>
      </c>
      <c r="H942" s="18">
        <f t="shared" ref="H942:I942" si="1059">H970+H1006</f>
        <v>3</v>
      </c>
      <c r="I942" s="18">
        <f t="shared" si="1059"/>
        <v>2</v>
      </c>
      <c r="J942" s="18">
        <f t="shared" ref="J942:K942" si="1060">J970+J1006</f>
        <v>0</v>
      </c>
      <c r="K942" s="18">
        <f t="shared" si="1060"/>
        <v>2</v>
      </c>
      <c r="L942" s="18">
        <f t="shared" ref="L942:M942" si="1061">L970+L1006</f>
        <v>1</v>
      </c>
      <c r="M942" s="18">
        <f t="shared" si="1061"/>
        <v>1</v>
      </c>
      <c r="N942" s="133">
        <f>SUM(B942:M942)</f>
        <v>11</v>
      </c>
      <c r="O942" s="19">
        <f>IF(N942=0,0,AVERAGE(B942:M942))</f>
        <v>0.91666666666666663</v>
      </c>
      <c r="P942" s="10"/>
      <c r="Q942" s="10"/>
      <c r="R942" s="10"/>
      <c r="S942" s="10"/>
      <c r="T942" s="10"/>
      <c r="U942" s="10"/>
      <c r="V942" s="10"/>
      <c r="W942" s="10"/>
      <c r="X942" s="10"/>
      <c r="Y942" s="10"/>
      <c r="Z942" s="10"/>
    </row>
    <row r="943" spans="1:26" s="9" customFormat="1" ht="15.75">
      <c r="A943" s="104" t="s">
        <v>605</v>
      </c>
      <c r="B943" s="18">
        <f t="shared" ref="B943:C943" si="1062">B971+B1007</f>
        <v>1</v>
      </c>
      <c r="C943" s="18">
        <f t="shared" si="1062"/>
        <v>1</v>
      </c>
      <c r="D943" s="18">
        <f t="shared" ref="D943:E943" si="1063">D971+D1007</f>
        <v>1</v>
      </c>
      <c r="E943" s="18">
        <f t="shared" si="1063"/>
        <v>1</v>
      </c>
      <c r="F943" s="18">
        <f t="shared" ref="F943:G943" si="1064">F971+F1007</f>
        <v>4</v>
      </c>
      <c r="G943" s="18">
        <f t="shared" si="1064"/>
        <v>2</v>
      </c>
      <c r="H943" s="18">
        <f t="shared" ref="H943:I943" si="1065">H971+H1007</f>
        <v>3</v>
      </c>
      <c r="I943" s="18">
        <f t="shared" si="1065"/>
        <v>5</v>
      </c>
      <c r="J943" s="18">
        <f t="shared" ref="J943:K943" si="1066">J971+J1007</f>
        <v>2</v>
      </c>
      <c r="K943" s="18">
        <f t="shared" si="1066"/>
        <v>3</v>
      </c>
      <c r="L943" s="18">
        <f t="shared" ref="L943:M943" si="1067">L971+L1007</f>
        <v>4</v>
      </c>
      <c r="M943" s="18">
        <f t="shared" si="1067"/>
        <v>7</v>
      </c>
      <c r="N943" s="133">
        <f t="shared" ref="N943:N965" si="1068">SUM(B943:M943)</f>
        <v>34</v>
      </c>
      <c r="O943" s="19">
        <f t="shared" ref="O943:O965" si="1069">IF(N943=0,0,AVERAGE(B943:M943))</f>
        <v>2.8333333333333335</v>
      </c>
      <c r="P943" s="10"/>
      <c r="Q943" s="10"/>
      <c r="R943" s="10"/>
      <c r="S943" s="10"/>
      <c r="T943" s="10"/>
      <c r="U943" s="10"/>
      <c r="V943" s="10"/>
      <c r="W943" s="10"/>
      <c r="X943" s="10"/>
      <c r="Y943" s="10"/>
      <c r="Z943" s="10"/>
    </row>
    <row r="944" spans="1:26" s="9" customFormat="1" ht="15.75">
      <c r="A944" s="104" t="s">
        <v>606</v>
      </c>
      <c r="B944" s="18">
        <f t="shared" ref="B944:C944" si="1070">B972+B1008</f>
        <v>3</v>
      </c>
      <c r="C944" s="18">
        <f t="shared" si="1070"/>
        <v>3</v>
      </c>
      <c r="D944" s="18">
        <f t="shared" ref="D944:E944" si="1071">D972+D1008</f>
        <v>2</v>
      </c>
      <c r="E944" s="18">
        <f t="shared" si="1071"/>
        <v>1</v>
      </c>
      <c r="F944" s="18">
        <f t="shared" ref="F944:G944" si="1072">F972+F1008</f>
        <v>2</v>
      </c>
      <c r="G944" s="18">
        <f t="shared" si="1072"/>
        <v>3</v>
      </c>
      <c r="H944" s="18">
        <f t="shared" ref="H944:I944" si="1073">H972+H1008</f>
        <v>2</v>
      </c>
      <c r="I944" s="18">
        <f t="shared" si="1073"/>
        <v>2</v>
      </c>
      <c r="J944" s="18">
        <f t="shared" ref="J944:K944" si="1074">J972+J1008</f>
        <v>2</v>
      </c>
      <c r="K944" s="18">
        <f t="shared" si="1074"/>
        <v>2</v>
      </c>
      <c r="L944" s="18">
        <f t="shared" ref="L944:M944" si="1075">L972+L1008</f>
        <v>2</v>
      </c>
      <c r="M944" s="18">
        <f t="shared" si="1075"/>
        <v>1</v>
      </c>
      <c r="N944" s="133">
        <f t="shared" si="1068"/>
        <v>25</v>
      </c>
      <c r="O944" s="19">
        <f t="shared" si="1069"/>
        <v>2.0833333333333335</v>
      </c>
      <c r="P944" s="10"/>
      <c r="Q944" s="10"/>
      <c r="R944" s="10"/>
      <c r="S944" s="10"/>
      <c r="T944" s="10"/>
      <c r="U944" s="10"/>
      <c r="V944" s="10"/>
      <c r="W944" s="10"/>
      <c r="X944" s="10"/>
      <c r="Y944" s="10"/>
      <c r="Z944" s="10"/>
    </row>
    <row r="945" spans="1:26" s="9" customFormat="1" ht="15.75">
      <c r="A945" s="104" t="s">
        <v>607</v>
      </c>
      <c r="B945" s="18">
        <f t="shared" ref="B945:C945" si="1076">B973+B1009</f>
        <v>2</v>
      </c>
      <c r="C945" s="18">
        <f t="shared" si="1076"/>
        <v>4</v>
      </c>
      <c r="D945" s="18">
        <f t="shared" ref="D945:E945" si="1077">D973+D1009</f>
        <v>0</v>
      </c>
      <c r="E945" s="18">
        <f t="shared" si="1077"/>
        <v>2</v>
      </c>
      <c r="F945" s="18">
        <f t="shared" ref="F945:G945" si="1078">F973+F1009</f>
        <v>1</v>
      </c>
      <c r="G945" s="18">
        <f t="shared" si="1078"/>
        <v>6</v>
      </c>
      <c r="H945" s="18">
        <f t="shared" ref="H945:I945" si="1079">H973+H1009</f>
        <v>3</v>
      </c>
      <c r="I945" s="18">
        <f t="shared" si="1079"/>
        <v>6</v>
      </c>
      <c r="J945" s="18">
        <f t="shared" ref="J945:K945" si="1080">J973+J1009</f>
        <v>1</v>
      </c>
      <c r="K945" s="18">
        <f t="shared" si="1080"/>
        <v>0</v>
      </c>
      <c r="L945" s="18">
        <f t="shared" ref="L945:M945" si="1081">L973+L1009</f>
        <v>2</v>
      </c>
      <c r="M945" s="18">
        <f t="shared" si="1081"/>
        <v>2</v>
      </c>
      <c r="N945" s="133">
        <f t="shared" si="1068"/>
        <v>29</v>
      </c>
      <c r="O945" s="19">
        <f t="shared" si="1069"/>
        <v>2.4166666666666665</v>
      </c>
      <c r="P945" s="10"/>
      <c r="Q945" s="10"/>
      <c r="R945" s="10"/>
      <c r="S945" s="10"/>
      <c r="T945" s="10"/>
      <c r="U945" s="10"/>
      <c r="V945" s="10"/>
      <c r="W945" s="10"/>
      <c r="X945" s="10"/>
      <c r="Y945" s="10"/>
      <c r="Z945" s="10"/>
    </row>
    <row r="946" spans="1:26" s="9" customFormat="1" ht="15.75">
      <c r="A946" s="104" t="s">
        <v>613</v>
      </c>
      <c r="B946" s="18">
        <f t="shared" ref="B946:C946" si="1082">B974+B1010</f>
        <v>0</v>
      </c>
      <c r="C946" s="18">
        <f t="shared" si="1082"/>
        <v>0</v>
      </c>
      <c r="D946" s="18">
        <f t="shared" ref="D946:E946" si="1083">D974+D1010</f>
        <v>1</v>
      </c>
      <c r="E946" s="18">
        <f t="shared" si="1083"/>
        <v>0</v>
      </c>
      <c r="F946" s="18">
        <f t="shared" ref="F946:G946" si="1084">F974+F1010</f>
        <v>0</v>
      </c>
      <c r="G946" s="18">
        <f t="shared" si="1084"/>
        <v>0</v>
      </c>
      <c r="H946" s="18">
        <f t="shared" ref="H946:I946" si="1085">H974+H1010</f>
        <v>0</v>
      </c>
      <c r="I946" s="18">
        <f t="shared" si="1085"/>
        <v>0</v>
      </c>
      <c r="J946" s="18">
        <f t="shared" ref="J946:K946" si="1086">J974+J1010</f>
        <v>0</v>
      </c>
      <c r="K946" s="18">
        <f t="shared" si="1086"/>
        <v>0</v>
      </c>
      <c r="L946" s="18">
        <f t="shared" ref="L946:M946" si="1087">L974+L1010</f>
        <v>0</v>
      </c>
      <c r="M946" s="18">
        <f t="shared" si="1087"/>
        <v>1</v>
      </c>
      <c r="N946" s="133">
        <f t="shared" si="1068"/>
        <v>2</v>
      </c>
      <c r="O946" s="19">
        <f t="shared" si="1069"/>
        <v>0.16666666666666666</v>
      </c>
      <c r="P946" s="10"/>
      <c r="Q946" s="10"/>
      <c r="R946" s="10"/>
      <c r="S946" s="10"/>
      <c r="T946" s="10"/>
      <c r="U946" s="10"/>
      <c r="V946" s="10"/>
      <c r="W946" s="10"/>
      <c r="X946" s="10"/>
      <c r="Y946" s="10"/>
      <c r="Z946" s="10"/>
    </row>
    <row r="947" spans="1:26" s="9" customFormat="1" ht="15.75">
      <c r="A947" s="104" t="s">
        <v>611</v>
      </c>
      <c r="B947" s="18">
        <f t="shared" ref="B947:C947" si="1088">B975+B1011</f>
        <v>2</v>
      </c>
      <c r="C947" s="18">
        <f t="shared" si="1088"/>
        <v>0</v>
      </c>
      <c r="D947" s="18">
        <f t="shared" ref="D947:E947" si="1089">D975+D1011</f>
        <v>0</v>
      </c>
      <c r="E947" s="18">
        <f t="shared" si="1089"/>
        <v>3</v>
      </c>
      <c r="F947" s="18">
        <f t="shared" ref="F947:G947" si="1090">F975+F1011</f>
        <v>1</v>
      </c>
      <c r="G947" s="18">
        <f t="shared" si="1090"/>
        <v>2</v>
      </c>
      <c r="H947" s="18">
        <f t="shared" ref="H947:I947" si="1091">H975+H1011</f>
        <v>0</v>
      </c>
      <c r="I947" s="18">
        <f t="shared" si="1091"/>
        <v>1</v>
      </c>
      <c r="J947" s="18">
        <f t="shared" ref="J947:K947" si="1092">J975+J1011</f>
        <v>0</v>
      </c>
      <c r="K947" s="18">
        <f t="shared" si="1092"/>
        <v>3</v>
      </c>
      <c r="L947" s="18">
        <f t="shared" ref="L947:M947" si="1093">L975+L1011</f>
        <v>0</v>
      </c>
      <c r="M947" s="18">
        <f t="shared" si="1093"/>
        <v>0</v>
      </c>
      <c r="N947" s="133">
        <f t="shared" si="1068"/>
        <v>12</v>
      </c>
      <c r="O947" s="19">
        <f t="shared" si="1069"/>
        <v>1</v>
      </c>
      <c r="P947" s="8"/>
      <c r="Q947" s="8"/>
      <c r="R947" s="8"/>
      <c r="S947" s="8"/>
      <c r="T947" s="8"/>
      <c r="U947" s="8"/>
      <c r="V947" s="8"/>
      <c r="W947" s="8"/>
      <c r="X947" s="8"/>
      <c r="Y947" s="8"/>
      <c r="Z947" s="8"/>
    </row>
    <row r="948" spans="1:26" s="9" customFormat="1" ht="15.75">
      <c r="A948" s="34" t="s">
        <v>157</v>
      </c>
      <c r="B948" s="18">
        <f t="shared" ref="B948:C948" si="1094">B976+B1012</f>
        <v>4</v>
      </c>
      <c r="C948" s="18">
        <f t="shared" si="1094"/>
        <v>3</v>
      </c>
      <c r="D948" s="18">
        <f t="shared" ref="D948:E948" si="1095">D976+D1012</f>
        <v>2</v>
      </c>
      <c r="E948" s="18">
        <f t="shared" si="1095"/>
        <v>1</v>
      </c>
      <c r="F948" s="18">
        <f t="shared" ref="F948:G948" si="1096">F976+F1012</f>
        <v>9</v>
      </c>
      <c r="G948" s="18">
        <f t="shared" si="1096"/>
        <v>7</v>
      </c>
      <c r="H948" s="18">
        <f t="shared" ref="H948:I948" si="1097">H976+H1012</f>
        <v>12</v>
      </c>
      <c r="I948" s="18">
        <f t="shared" si="1097"/>
        <v>7</v>
      </c>
      <c r="J948" s="18">
        <f t="shared" ref="J948:K948" si="1098">J976+J1012</f>
        <v>6</v>
      </c>
      <c r="K948" s="18">
        <f t="shared" si="1098"/>
        <v>12</v>
      </c>
      <c r="L948" s="18">
        <f t="shared" ref="L948:M948" si="1099">L976+L1012</f>
        <v>9</v>
      </c>
      <c r="M948" s="18">
        <f t="shared" si="1099"/>
        <v>7</v>
      </c>
      <c r="N948" s="133">
        <f t="shared" si="1068"/>
        <v>79</v>
      </c>
      <c r="O948" s="19">
        <f t="shared" si="1069"/>
        <v>6.583333333333333</v>
      </c>
      <c r="P948" s="8"/>
      <c r="Q948" s="8"/>
      <c r="R948" s="8"/>
      <c r="S948" s="8"/>
      <c r="T948" s="8"/>
      <c r="U948" s="8"/>
      <c r="V948" s="8"/>
      <c r="W948" s="8"/>
      <c r="X948" s="8"/>
      <c r="Y948" s="8"/>
      <c r="Z948" s="8"/>
    </row>
    <row r="949" spans="1:26" s="9" customFormat="1" ht="15.75">
      <c r="A949" s="34" t="s">
        <v>597</v>
      </c>
      <c r="B949" s="18">
        <f t="shared" ref="B949:C949" si="1100">B977+B1013</f>
        <v>13</v>
      </c>
      <c r="C949" s="18">
        <f t="shared" si="1100"/>
        <v>15</v>
      </c>
      <c r="D949" s="18">
        <f t="shared" ref="D949:E949" si="1101">D977+D1013</f>
        <v>7</v>
      </c>
      <c r="E949" s="18">
        <f t="shared" si="1101"/>
        <v>8</v>
      </c>
      <c r="F949" s="18">
        <f t="shared" ref="F949:G949" si="1102">F977+F1013</f>
        <v>19</v>
      </c>
      <c r="G949" s="18">
        <f t="shared" si="1102"/>
        <v>19</v>
      </c>
      <c r="H949" s="18">
        <f t="shared" ref="H949:I949" si="1103">H977+H1013</f>
        <v>15</v>
      </c>
      <c r="I949" s="18">
        <f t="shared" si="1103"/>
        <v>14</v>
      </c>
      <c r="J949" s="18">
        <f t="shared" ref="J949:K949" si="1104">J977+J1013</f>
        <v>18</v>
      </c>
      <c r="K949" s="18">
        <f t="shared" si="1104"/>
        <v>20</v>
      </c>
      <c r="L949" s="18">
        <f t="shared" ref="L949:M949" si="1105">L977+L1013</f>
        <v>11</v>
      </c>
      <c r="M949" s="18">
        <f t="shared" si="1105"/>
        <v>23</v>
      </c>
      <c r="N949" s="133">
        <f t="shared" si="1068"/>
        <v>182</v>
      </c>
      <c r="O949" s="19">
        <f t="shared" si="1069"/>
        <v>15.166666666666666</v>
      </c>
      <c r="P949" s="8"/>
      <c r="Q949" s="8"/>
      <c r="R949" s="8"/>
      <c r="S949" s="8"/>
      <c r="T949" s="8"/>
      <c r="U949" s="8"/>
      <c r="V949" s="8"/>
      <c r="W949" s="8"/>
      <c r="X949" s="8"/>
      <c r="Y949" s="8"/>
      <c r="Z949" s="8"/>
    </row>
    <row r="950" spans="1:26" s="9" customFormat="1" ht="15.75">
      <c r="A950" s="34" t="s">
        <v>379</v>
      </c>
      <c r="B950" s="18">
        <f t="shared" ref="B950:C950" si="1106">B978+B1014</f>
        <v>4</v>
      </c>
      <c r="C950" s="18">
        <f t="shared" si="1106"/>
        <v>7</v>
      </c>
      <c r="D950" s="18">
        <f t="shared" ref="D950:E950" si="1107">D978+D1014</f>
        <v>2</v>
      </c>
      <c r="E950" s="18">
        <f t="shared" si="1107"/>
        <v>3</v>
      </c>
      <c r="F950" s="18">
        <f t="shared" ref="F950:G950" si="1108">F978+F1014</f>
        <v>9</v>
      </c>
      <c r="G950" s="18">
        <f t="shared" si="1108"/>
        <v>8</v>
      </c>
      <c r="H950" s="18">
        <f t="shared" ref="H950:I950" si="1109">H978+H1014</f>
        <v>8</v>
      </c>
      <c r="I950" s="18">
        <f t="shared" si="1109"/>
        <v>8</v>
      </c>
      <c r="J950" s="18">
        <f t="shared" ref="J950:K950" si="1110">J978+J1014</f>
        <v>14</v>
      </c>
      <c r="K950" s="18">
        <f t="shared" si="1110"/>
        <v>13</v>
      </c>
      <c r="L950" s="18">
        <f t="shared" ref="L950:M950" si="1111">L978+L1014</f>
        <v>12</v>
      </c>
      <c r="M950" s="18">
        <f t="shared" si="1111"/>
        <v>19</v>
      </c>
      <c r="N950" s="133">
        <f t="shared" si="1068"/>
        <v>107</v>
      </c>
      <c r="O950" s="19">
        <f t="shared" si="1069"/>
        <v>8.9166666666666661</v>
      </c>
      <c r="P950" s="8"/>
      <c r="Q950" s="8"/>
      <c r="R950" s="8"/>
      <c r="S950" s="8"/>
      <c r="T950" s="8"/>
      <c r="U950" s="8"/>
      <c r="V950" s="8"/>
      <c r="W950" s="8"/>
      <c r="X950" s="8"/>
      <c r="Y950" s="8"/>
      <c r="Z950" s="8"/>
    </row>
    <row r="951" spans="1:26" s="9" customFormat="1" ht="15.75">
      <c r="A951" s="34" t="s">
        <v>609</v>
      </c>
      <c r="B951" s="18">
        <f t="shared" ref="B951:C951" si="1112">B979+B1015</f>
        <v>1</v>
      </c>
      <c r="C951" s="18">
        <f t="shared" si="1112"/>
        <v>0</v>
      </c>
      <c r="D951" s="18">
        <f t="shared" ref="D951:E951" si="1113">D979+D1015</f>
        <v>0</v>
      </c>
      <c r="E951" s="18">
        <f t="shared" si="1113"/>
        <v>3</v>
      </c>
      <c r="F951" s="18">
        <f t="shared" ref="F951:G951" si="1114">F979+F1015</f>
        <v>3</v>
      </c>
      <c r="G951" s="18">
        <f t="shared" si="1114"/>
        <v>2</v>
      </c>
      <c r="H951" s="18">
        <f t="shared" ref="H951:I951" si="1115">H979+H1015</f>
        <v>1</v>
      </c>
      <c r="I951" s="18">
        <f t="shared" si="1115"/>
        <v>2</v>
      </c>
      <c r="J951" s="18">
        <f t="shared" ref="J951:K951" si="1116">J979+J1015</f>
        <v>4</v>
      </c>
      <c r="K951" s="18">
        <f t="shared" si="1116"/>
        <v>4</v>
      </c>
      <c r="L951" s="18">
        <f t="shared" ref="L951:M951" si="1117">L979+L1015</f>
        <v>1</v>
      </c>
      <c r="M951" s="18">
        <f t="shared" si="1117"/>
        <v>2</v>
      </c>
      <c r="N951" s="133">
        <f t="shared" si="1068"/>
        <v>23</v>
      </c>
      <c r="O951" s="19">
        <f t="shared" si="1069"/>
        <v>1.9166666666666667</v>
      </c>
      <c r="P951" s="8"/>
      <c r="Q951" s="8"/>
      <c r="R951" s="8"/>
      <c r="S951" s="8"/>
      <c r="T951" s="8"/>
      <c r="U951" s="8"/>
      <c r="V951" s="8"/>
      <c r="W951" s="8"/>
      <c r="X951" s="8"/>
      <c r="Y951" s="8"/>
      <c r="Z951" s="8"/>
    </row>
    <row r="952" spans="1:26" s="9" customFormat="1" ht="15.75">
      <c r="A952" s="34" t="s">
        <v>614</v>
      </c>
      <c r="B952" s="18">
        <f t="shared" ref="B952:C952" si="1118">B980+B1016</f>
        <v>0</v>
      </c>
      <c r="C952" s="18">
        <f t="shared" si="1118"/>
        <v>0</v>
      </c>
      <c r="D952" s="18">
        <f t="shared" ref="D952:E952" si="1119">D980+D1016</f>
        <v>0</v>
      </c>
      <c r="E952" s="18">
        <f t="shared" si="1119"/>
        <v>0</v>
      </c>
      <c r="F952" s="18">
        <f t="shared" ref="F952:G952" si="1120">F980+F1016</f>
        <v>0</v>
      </c>
      <c r="G952" s="18">
        <f t="shared" si="1120"/>
        <v>0</v>
      </c>
      <c r="H952" s="18">
        <f t="shared" ref="H952:I952" si="1121">H980+H1016</f>
        <v>0</v>
      </c>
      <c r="I952" s="18">
        <f t="shared" si="1121"/>
        <v>0</v>
      </c>
      <c r="J952" s="18">
        <f t="shared" ref="J952:K952" si="1122">J980+J1016</f>
        <v>0</v>
      </c>
      <c r="K952" s="18">
        <f t="shared" si="1122"/>
        <v>1</v>
      </c>
      <c r="L952" s="18">
        <f t="shared" ref="L952:M952" si="1123">L980+L1016</f>
        <v>0</v>
      </c>
      <c r="M952" s="18">
        <f t="shared" si="1123"/>
        <v>0</v>
      </c>
      <c r="N952" s="133">
        <f t="shared" si="1068"/>
        <v>1</v>
      </c>
      <c r="O952" s="19">
        <f t="shared" si="1069"/>
        <v>8.3333333333333329E-2</v>
      </c>
      <c r="P952" s="8"/>
      <c r="Q952" s="8"/>
      <c r="R952" s="8"/>
      <c r="S952" s="8"/>
      <c r="T952" s="8"/>
      <c r="U952" s="8"/>
      <c r="V952" s="8"/>
      <c r="W952" s="8"/>
      <c r="X952" s="8"/>
      <c r="Y952" s="8"/>
      <c r="Z952" s="8"/>
    </row>
    <row r="953" spans="1:26" s="9" customFormat="1" ht="15.75">
      <c r="A953" s="34" t="s">
        <v>158</v>
      </c>
      <c r="B953" s="18">
        <f t="shared" ref="B953:C953" si="1124">B981+B1017</f>
        <v>4</v>
      </c>
      <c r="C953" s="18">
        <f t="shared" si="1124"/>
        <v>1</v>
      </c>
      <c r="D953" s="18">
        <f t="shared" ref="D953:E953" si="1125">D981+D1017</f>
        <v>0</v>
      </c>
      <c r="E953" s="18">
        <f t="shared" si="1125"/>
        <v>1</v>
      </c>
      <c r="F953" s="18">
        <f t="shared" ref="F953:G953" si="1126">F981+F1017</f>
        <v>3</v>
      </c>
      <c r="G953" s="18">
        <f t="shared" si="1126"/>
        <v>6</v>
      </c>
      <c r="H953" s="18">
        <f t="shared" ref="H953:I953" si="1127">H981+H1017</f>
        <v>3</v>
      </c>
      <c r="I953" s="18">
        <f t="shared" si="1127"/>
        <v>0</v>
      </c>
      <c r="J953" s="18">
        <f t="shared" ref="J953:K953" si="1128">J981+J1017</f>
        <v>2</v>
      </c>
      <c r="K953" s="18">
        <f t="shared" si="1128"/>
        <v>0</v>
      </c>
      <c r="L953" s="18">
        <f t="shared" ref="L953:M953" si="1129">L981+L1017</f>
        <v>3</v>
      </c>
      <c r="M953" s="18">
        <f t="shared" si="1129"/>
        <v>5</v>
      </c>
      <c r="N953" s="133">
        <f t="shared" si="1068"/>
        <v>28</v>
      </c>
      <c r="O953" s="19">
        <f t="shared" si="1069"/>
        <v>2.3333333333333335</v>
      </c>
      <c r="P953" s="8"/>
      <c r="Q953" s="8"/>
      <c r="R953" s="8"/>
      <c r="S953" s="8"/>
      <c r="T953" s="8"/>
      <c r="U953" s="8"/>
      <c r="V953" s="8"/>
      <c r="W953" s="8"/>
      <c r="X953" s="8"/>
      <c r="Y953" s="8"/>
      <c r="Z953" s="8"/>
    </row>
    <row r="954" spans="1:26" s="9" customFormat="1" ht="15.75">
      <c r="A954" s="34" t="s">
        <v>159</v>
      </c>
      <c r="B954" s="18">
        <f t="shared" ref="B954:C954" si="1130">B982+B1018</f>
        <v>0</v>
      </c>
      <c r="C954" s="18">
        <f t="shared" si="1130"/>
        <v>1</v>
      </c>
      <c r="D954" s="18">
        <f t="shared" ref="D954:E954" si="1131">D982+D1018</f>
        <v>0</v>
      </c>
      <c r="E954" s="18">
        <f t="shared" si="1131"/>
        <v>0</v>
      </c>
      <c r="F954" s="18">
        <f t="shared" ref="F954:G954" si="1132">F982+F1018</f>
        <v>0</v>
      </c>
      <c r="G954" s="18">
        <f t="shared" si="1132"/>
        <v>0</v>
      </c>
      <c r="H954" s="18">
        <f t="shared" ref="H954:I954" si="1133">H982+H1018</f>
        <v>2</v>
      </c>
      <c r="I954" s="18">
        <f t="shared" si="1133"/>
        <v>0</v>
      </c>
      <c r="J954" s="18">
        <f t="shared" ref="J954:K954" si="1134">J982+J1018</f>
        <v>1</v>
      </c>
      <c r="K954" s="18">
        <f t="shared" si="1134"/>
        <v>0</v>
      </c>
      <c r="L954" s="18">
        <f t="shared" ref="L954:M954" si="1135">L982+L1018</f>
        <v>0</v>
      </c>
      <c r="M954" s="18">
        <f t="shared" si="1135"/>
        <v>1</v>
      </c>
      <c r="N954" s="133">
        <f t="shared" si="1068"/>
        <v>5</v>
      </c>
      <c r="O954" s="19">
        <f t="shared" si="1069"/>
        <v>0.41666666666666669</v>
      </c>
      <c r="P954" s="8"/>
      <c r="Q954" s="8"/>
      <c r="R954" s="8"/>
      <c r="S954" s="8"/>
      <c r="T954" s="8"/>
      <c r="U954" s="8"/>
      <c r="V954" s="8"/>
      <c r="W954" s="8"/>
      <c r="X954" s="8"/>
      <c r="Y954" s="8"/>
      <c r="Z954" s="8"/>
    </row>
    <row r="955" spans="1:26" s="9" customFormat="1" ht="15.75">
      <c r="A955" s="34" t="s">
        <v>160</v>
      </c>
      <c r="B955" s="18">
        <f t="shared" ref="B955:C955" si="1136">B983+B1019</f>
        <v>16</v>
      </c>
      <c r="C955" s="18">
        <f t="shared" si="1136"/>
        <v>12</v>
      </c>
      <c r="D955" s="18">
        <f t="shared" ref="D955:E955" si="1137">D983+D1019</f>
        <v>8</v>
      </c>
      <c r="E955" s="18">
        <f t="shared" si="1137"/>
        <v>32</v>
      </c>
      <c r="F955" s="18">
        <f t="shared" ref="F955:G955" si="1138">F983+F1019</f>
        <v>44</v>
      </c>
      <c r="G955" s="18">
        <f t="shared" si="1138"/>
        <v>24</v>
      </c>
      <c r="H955" s="18">
        <f t="shared" ref="H955:I955" si="1139">H983+H1019</f>
        <v>36</v>
      </c>
      <c r="I955" s="18">
        <f t="shared" si="1139"/>
        <v>26</v>
      </c>
      <c r="J955" s="18">
        <f t="shared" ref="J955:K955" si="1140">J983+J1019</f>
        <v>21</v>
      </c>
      <c r="K955" s="18">
        <f t="shared" si="1140"/>
        <v>39</v>
      </c>
      <c r="L955" s="18">
        <f t="shared" ref="L955:M955" si="1141">L983+L1019</f>
        <v>25</v>
      </c>
      <c r="M955" s="18">
        <f t="shared" si="1141"/>
        <v>38</v>
      </c>
      <c r="N955" s="133">
        <f t="shared" si="1068"/>
        <v>321</v>
      </c>
      <c r="O955" s="19">
        <f t="shared" si="1069"/>
        <v>26.75</v>
      </c>
      <c r="P955" s="8"/>
      <c r="Q955" s="8"/>
      <c r="R955" s="8"/>
      <c r="S955" s="8"/>
      <c r="T955" s="8"/>
      <c r="U955" s="8"/>
      <c r="V955" s="8"/>
      <c r="W955" s="8"/>
      <c r="X955" s="8"/>
      <c r="Y955" s="8"/>
      <c r="Z955" s="8"/>
    </row>
    <row r="956" spans="1:26" s="9" customFormat="1" ht="15.75">
      <c r="A956" s="34" t="s">
        <v>287</v>
      </c>
      <c r="B956" s="18">
        <f t="shared" ref="B956:C956" si="1142">B984+B1020</f>
        <v>30</v>
      </c>
      <c r="C956" s="18">
        <f t="shared" si="1142"/>
        <v>50</v>
      </c>
      <c r="D956" s="18">
        <f t="shared" ref="D956:E956" si="1143">D984+D1020</f>
        <v>48</v>
      </c>
      <c r="E956" s="18">
        <f t="shared" si="1143"/>
        <v>74</v>
      </c>
      <c r="F956" s="18">
        <f t="shared" ref="F956:G956" si="1144">F984+F1020</f>
        <v>99</v>
      </c>
      <c r="G956" s="18">
        <f t="shared" si="1144"/>
        <v>95</v>
      </c>
      <c r="H956" s="18">
        <f t="shared" ref="H956:I956" si="1145">H984+H1020</f>
        <v>109</v>
      </c>
      <c r="I956" s="18">
        <f t="shared" si="1145"/>
        <v>104</v>
      </c>
      <c r="J956" s="18">
        <f t="shared" ref="J956:K956" si="1146">J984+J1020</f>
        <v>131</v>
      </c>
      <c r="K956" s="18">
        <f t="shared" si="1146"/>
        <v>110</v>
      </c>
      <c r="L956" s="18">
        <f t="shared" ref="L956:M956" si="1147">L984+L1020</f>
        <v>90</v>
      </c>
      <c r="M956" s="18">
        <f t="shared" si="1147"/>
        <v>99</v>
      </c>
      <c r="N956" s="133">
        <f t="shared" si="1068"/>
        <v>1039</v>
      </c>
      <c r="O956" s="19">
        <f t="shared" si="1069"/>
        <v>86.583333333333329</v>
      </c>
      <c r="P956" s="8"/>
      <c r="Q956" s="8"/>
      <c r="R956" s="8"/>
      <c r="S956" s="8"/>
      <c r="T956" s="8"/>
      <c r="U956" s="8"/>
      <c r="V956" s="8"/>
      <c r="W956" s="8"/>
      <c r="X956" s="8"/>
      <c r="Y956" s="8"/>
      <c r="Z956" s="8"/>
    </row>
    <row r="957" spans="1:26" s="9" customFormat="1" ht="15.75">
      <c r="A957" s="34" t="s">
        <v>610</v>
      </c>
      <c r="B957" s="18">
        <f t="shared" ref="B957:C957" si="1148">B985+B1021</f>
        <v>10</v>
      </c>
      <c r="C957" s="18">
        <f t="shared" si="1148"/>
        <v>8</v>
      </c>
      <c r="D957" s="18">
        <f t="shared" ref="D957:E957" si="1149">D985+D1021</f>
        <v>3</v>
      </c>
      <c r="E957" s="18">
        <f t="shared" si="1149"/>
        <v>9</v>
      </c>
      <c r="F957" s="18">
        <f t="shared" ref="F957:G957" si="1150">F985+F1021</f>
        <v>6</v>
      </c>
      <c r="G957" s="18">
        <f t="shared" si="1150"/>
        <v>7</v>
      </c>
      <c r="H957" s="18">
        <f t="shared" ref="H957:I957" si="1151">H985+H1021</f>
        <v>7</v>
      </c>
      <c r="I957" s="18">
        <f t="shared" si="1151"/>
        <v>8</v>
      </c>
      <c r="J957" s="18">
        <f t="shared" ref="J957:K957" si="1152">J985+J1021</f>
        <v>13</v>
      </c>
      <c r="K957" s="18">
        <f t="shared" si="1152"/>
        <v>17</v>
      </c>
      <c r="L957" s="18">
        <f t="shared" ref="L957:M957" si="1153">L985+L1021</f>
        <v>2</v>
      </c>
      <c r="M957" s="18">
        <f t="shared" si="1153"/>
        <v>7</v>
      </c>
      <c r="N957" s="133">
        <f t="shared" si="1068"/>
        <v>97</v>
      </c>
      <c r="O957" s="19">
        <f t="shared" si="1069"/>
        <v>8.0833333333333339</v>
      </c>
      <c r="P957" s="8"/>
      <c r="Q957" s="8"/>
      <c r="R957" s="8"/>
      <c r="S957" s="8"/>
      <c r="T957" s="8"/>
      <c r="U957" s="8"/>
      <c r="V957" s="8"/>
      <c r="W957" s="8"/>
      <c r="X957" s="8"/>
      <c r="Y957" s="8"/>
      <c r="Z957" s="8"/>
    </row>
    <row r="958" spans="1:26" s="9" customFormat="1" ht="15.75">
      <c r="A958" s="34" t="s">
        <v>161</v>
      </c>
      <c r="B958" s="18">
        <f t="shared" ref="B958:C958" si="1154">B986+B1022</f>
        <v>0</v>
      </c>
      <c r="C958" s="18">
        <f t="shared" si="1154"/>
        <v>4</v>
      </c>
      <c r="D958" s="18">
        <f t="shared" ref="D958:E958" si="1155">D986+D1022</f>
        <v>5</v>
      </c>
      <c r="E958" s="18">
        <f t="shared" si="1155"/>
        <v>5</v>
      </c>
      <c r="F958" s="18">
        <f t="shared" ref="F958:G958" si="1156">F986+F1022</f>
        <v>11</v>
      </c>
      <c r="G958" s="18">
        <f t="shared" si="1156"/>
        <v>4</v>
      </c>
      <c r="H958" s="18">
        <f t="shared" ref="H958:I958" si="1157">H986+H1022</f>
        <v>8</v>
      </c>
      <c r="I958" s="18">
        <f t="shared" si="1157"/>
        <v>8</v>
      </c>
      <c r="J958" s="18">
        <f t="shared" ref="J958:K958" si="1158">J986+J1022</f>
        <v>7</v>
      </c>
      <c r="K958" s="18">
        <f t="shared" si="1158"/>
        <v>14</v>
      </c>
      <c r="L958" s="18">
        <f t="shared" ref="L958:M958" si="1159">L986+L1022</f>
        <v>11</v>
      </c>
      <c r="M958" s="18">
        <f t="shared" si="1159"/>
        <v>14</v>
      </c>
      <c r="N958" s="133">
        <f t="shared" si="1068"/>
        <v>91</v>
      </c>
      <c r="O958" s="19">
        <f t="shared" si="1069"/>
        <v>7.583333333333333</v>
      </c>
      <c r="P958" s="8"/>
      <c r="Q958" s="8"/>
      <c r="R958" s="8"/>
      <c r="S958" s="8"/>
      <c r="T958" s="8"/>
      <c r="U958" s="8"/>
      <c r="V958" s="8"/>
      <c r="W958" s="8"/>
      <c r="X958" s="8"/>
      <c r="Y958" s="8"/>
      <c r="Z958" s="8"/>
    </row>
    <row r="959" spans="1:26" s="9" customFormat="1" ht="15.75">
      <c r="A959" s="34" t="s">
        <v>608</v>
      </c>
      <c r="B959" s="18">
        <f t="shared" ref="B959:C959" si="1160">B987+B1023</f>
        <v>0</v>
      </c>
      <c r="C959" s="18">
        <f t="shared" si="1160"/>
        <v>0</v>
      </c>
      <c r="D959" s="18">
        <f t="shared" ref="D959:E959" si="1161">D987+D1023</f>
        <v>0</v>
      </c>
      <c r="E959" s="18">
        <f t="shared" si="1161"/>
        <v>2</v>
      </c>
      <c r="F959" s="18">
        <f t="shared" ref="F959:G959" si="1162">F987+F1023</f>
        <v>1</v>
      </c>
      <c r="G959" s="18">
        <f t="shared" si="1162"/>
        <v>0</v>
      </c>
      <c r="H959" s="18">
        <f t="shared" ref="H959:I959" si="1163">H987+H1023</f>
        <v>0</v>
      </c>
      <c r="I959" s="18">
        <f t="shared" si="1163"/>
        <v>3</v>
      </c>
      <c r="J959" s="18">
        <f t="shared" ref="J959:K959" si="1164">J987+J1023</f>
        <v>1</v>
      </c>
      <c r="K959" s="18">
        <f t="shared" si="1164"/>
        <v>0</v>
      </c>
      <c r="L959" s="18">
        <f t="shared" ref="L959:M959" si="1165">L987+L1023</f>
        <v>0</v>
      </c>
      <c r="M959" s="18">
        <f t="shared" si="1165"/>
        <v>1</v>
      </c>
      <c r="N959" s="133">
        <f t="shared" si="1068"/>
        <v>8</v>
      </c>
      <c r="O959" s="19">
        <f t="shared" si="1069"/>
        <v>0.66666666666666663</v>
      </c>
      <c r="P959" s="8"/>
      <c r="Q959" s="8"/>
      <c r="R959" s="8"/>
      <c r="S959" s="8"/>
      <c r="T959" s="8"/>
      <c r="U959" s="8"/>
      <c r="V959" s="8"/>
      <c r="W959" s="8"/>
      <c r="X959" s="8"/>
      <c r="Y959" s="8"/>
      <c r="Z959" s="8"/>
    </row>
    <row r="960" spans="1:26" s="9" customFormat="1" ht="15.75">
      <c r="A960" s="34" t="s">
        <v>162</v>
      </c>
      <c r="B960" s="18">
        <f t="shared" ref="B960:C960" si="1166">B988+B1024</f>
        <v>4</v>
      </c>
      <c r="C960" s="18">
        <f t="shared" si="1166"/>
        <v>29</v>
      </c>
      <c r="D960" s="18">
        <f t="shared" ref="D960:E960" si="1167">D988+D1024</f>
        <v>10</v>
      </c>
      <c r="E960" s="18">
        <f t="shared" si="1167"/>
        <v>20</v>
      </c>
      <c r="F960" s="18">
        <f t="shared" ref="F960:G960" si="1168">F988+F1024</f>
        <v>23</v>
      </c>
      <c r="G960" s="18">
        <f t="shared" si="1168"/>
        <v>38</v>
      </c>
      <c r="H960" s="18">
        <f t="shared" ref="H960:I960" si="1169">H988+H1024</f>
        <v>31</v>
      </c>
      <c r="I960" s="18">
        <f t="shared" si="1169"/>
        <v>27</v>
      </c>
      <c r="J960" s="18">
        <f t="shared" ref="J960:K960" si="1170">J988+J1024</f>
        <v>23</v>
      </c>
      <c r="K960" s="18">
        <f t="shared" si="1170"/>
        <v>26</v>
      </c>
      <c r="L960" s="18">
        <f t="shared" ref="L960:M960" si="1171">L988+L1024</f>
        <v>34</v>
      </c>
      <c r="M960" s="18">
        <f t="shared" si="1171"/>
        <v>15</v>
      </c>
      <c r="N960" s="133">
        <f t="shared" si="1068"/>
        <v>280</v>
      </c>
      <c r="O960" s="19">
        <f t="shared" si="1069"/>
        <v>23.333333333333332</v>
      </c>
      <c r="P960" s="8"/>
      <c r="Q960" s="8"/>
      <c r="R960" s="8"/>
      <c r="S960" s="8"/>
      <c r="T960" s="8"/>
      <c r="U960" s="8"/>
      <c r="V960" s="8"/>
      <c r="W960" s="8"/>
      <c r="X960" s="8"/>
      <c r="Y960" s="8"/>
      <c r="Z960" s="8"/>
    </row>
    <row r="961" spans="1:26" s="9" customFormat="1" ht="15.75">
      <c r="A961" s="34" t="s">
        <v>163</v>
      </c>
      <c r="B961" s="18">
        <f t="shared" ref="B961:C961" si="1172">B989+B1025</f>
        <v>2</v>
      </c>
      <c r="C961" s="18">
        <f t="shared" si="1172"/>
        <v>7</v>
      </c>
      <c r="D961" s="18">
        <f t="shared" ref="D961:E961" si="1173">D989+D1025</f>
        <v>5</v>
      </c>
      <c r="E961" s="18">
        <f t="shared" si="1173"/>
        <v>1</v>
      </c>
      <c r="F961" s="18">
        <f t="shared" ref="F961:G961" si="1174">F989+F1025</f>
        <v>5</v>
      </c>
      <c r="G961" s="18">
        <f t="shared" si="1174"/>
        <v>7</v>
      </c>
      <c r="H961" s="18">
        <f t="shared" ref="H961:I961" si="1175">H989+H1025</f>
        <v>5</v>
      </c>
      <c r="I961" s="18">
        <f t="shared" si="1175"/>
        <v>9</v>
      </c>
      <c r="J961" s="18">
        <f t="shared" ref="J961:K961" si="1176">J989+J1025</f>
        <v>11</v>
      </c>
      <c r="K961" s="18">
        <f t="shared" si="1176"/>
        <v>10</v>
      </c>
      <c r="L961" s="18">
        <f t="shared" ref="L961:M961" si="1177">L989+L1025</f>
        <v>6</v>
      </c>
      <c r="M961" s="18">
        <f t="shared" si="1177"/>
        <v>10</v>
      </c>
      <c r="N961" s="133">
        <f t="shared" si="1068"/>
        <v>78</v>
      </c>
      <c r="O961" s="19">
        <f t="shared" si="1069"/>
        <v>6.5</v>
      </c>
      <c r="P961" s="8"/>
      <c r="Q961" s="8"/>
      <c r="R961" s="8"/>
      <c r="S961" s="8"/>
      <c r="T961" s="8"/>
      <c r="U961" s="8"/>
      <c r="V961" s="8"/>
      <c r="W961" s="8"/>
      <c r="X961" s="8"/>
      <c r="Y961" s="8"/>
      <c r="Z961" s="8"/>
    </row>
    <row r="962" spans="1:26" s="9" customFormat="1" ht="15.75">
      <c r="A962" s="34" t="s">
        <v>612</v>
      </c>
      <c r="B962" s="18">
        <f t="shared" ref="B962:C962" si="1178">B990+B1026</f>
        <v>0</v>
      </c>
      <c r="C962" s="18">
        <f t="shared" si="1178"/>
        <v>0</v>
      </c>
      <c r="D962" s="18">
        <f t="shared" ref="D962:E962" si="1179">D990+D1026</f>
        <v>0</v>
      </c>
      <c r="E962" s="18">
        <f t="shared" si="1179"/>
        <v>0</v>
      </c>
      <c r="F962" s="18">
        <f t="shared" ref="F962:G962" si="1180">F990+F1026</f>
        <v>0</v>
      </c>
      <c r="G962" s="18">
        <f t="shared" si="1180"/>
        <v>0</v>
      </c>
      <c r="H962" s="18">
        <f t="shared" ref="H962:I962" si="1181">H990+H1026</f>
        <v>0</v>
      </c>
      <c r="I962" s="18">
        <f t="shared" si="1181"/>
        <v>1</v>
      </c>
      <c r="J962" s="18">
        <f t="shared" ref="J962:K962" si="1182">J990+J1026</f>
        <v>1</v>
      </c>
      <c r="K962" s="18">
        <f t="shared" si="1182"/>
        <v>0</v>
      </c>
      <c r="L962" s="18">
        <f t="shared" ref="L962:M962" si="1183">L990+L1026</f>
        <v>0</v>
      </c>
      <c r="M962" s="18">
        <f t="shared" si="1183"/>
        <v>1</v>
      </c>
      <c r="N962" s="133">
        <f t="shared" si="1068"/>
        <v>3</v>
      </c>
      <c r="O962" s="19">
        <f t="shared" si="1069"/>
        <v>0.25</v>
      </c>
      <c r="P962" s="8"/>
      <c r="Q962" s="8"/>
      <c r="R962" s="8"/>
      <c r="S962" s="8"/>
      <c r="T962" s="8"/>
      <c r="U962" s="8"/>
      <c r="V962" s="8"/>
      <c r="W962" s="8"/>
      <c r="X962" s="8"/>
      <c r="Y962" s="8"/>
      <c r="Z962" s="8"/>
    </row>
    <row r="963" spans="1:26" s="9" customFormat="1" ht="15.75">
      <c r="A963" s="34" t="s">
        <v>164</v>
      </c>
      <c r="B963" s="18">
        <f t="shared" ref="B963:C963" si="1184">B991+B1027</f>
        <v>347</v>
      </c>
      <c r="C963" s="18">
        <f t="shared" si="1184"/>
        <v>567</v>
      </c>
      <c r="D963" s="18">
        <f t="shared" ref="D963:E963" si="1185">D991+D1027</f>
        <v>477</v>
      </c>
      <c r="E963" s="18">
        <f t="shared" si="1185"/>
        <v>328</v>
      </c>
      <c r="F963" s="18">
        <f t="shared" ref="F963:G963" si="1186">F991+F1027</f>
        <v>491</v>
      </c>
      <c r="G963" s="18">
        <f t="shared" si="1186"/>
        <v>484</v>
      </c>
      <c r="H963" s="18">
        <f t="shared" ref="H963:I963" si="1187">H991+H1027</f>
        <v>564</v>
      </c>
      <c r="I963" s="18">
        <f t="shared" si="1187"/>
        <v>483</v>
      </c>
      <c r="J963" s="18">
        <f t="shared" ref="J963:K963" si="1188">J991+J1027</f>
        <v>449</v>
      </c>
      <c r="K963" s="18">
        <f t="shared" si="1188"/>
        <v>556</v>
      </c>
      <c r="L963" s="18">
        <f t="shared" ref="L963:M963" si="1189">L991+L1027</f>
        <v>404</v>
      </c>
      <c r="M963" s="18">
        <f t="shared" si="1189"/>
        <v>684</v>
      </c>
      <c r="N963" s="133">
        <f t="shared" si="1068"/>
        <v>5834</v>
      </c>
      <c r="O963" s="19">
        <f t="shared" si="1069"/>
        <v>486.16666666666669</v>
      </c>
      <c r="P963" s="8"/>
      <c r="Q963" s="8"/>
      <c r="R963" s="8"/>
      <c r="S963" s="8"/>
      <c r="T963" s="8"/>
      <c r="U963" s="8"/>
      <c r="V963" s="8"/>
      <c r="W963" s="8"/>
      <c r="X963" s="8"/>
      <c r="Y963" s="8"/>
      <c r="Z963" s="8"/>
    </row>
    <row r="964" spans="1:26" s="9" customFormat="1" ht="15.75">
      <c r="A964" s="34" t="s">
        <v>165</v>
      </c>
      <c r="B964" s="18">
        <f t="shared" ref="B964:C964" si="1190">B992+B1028</f>
        <v>10</v>
      </c>
      <c r="C964" s="18">
        <f t="shared" si="1190"/>
        <v>17</v>
      </c>
      <c r="D964" s="18">
        <f t="shared" ref="D964:E964" si="1191">D992+D1028</f>
        <v>5</v>
      </c>
      <c r="E964" s="18">
        <f t="shared" si="1191"/>
        <v>23</v>
      </c>
      <c r="F964" s="18">
        <f t="shared" ref="F964:G964" si="1192">F992+F1028</f>
        <v>29</v>
      </c>
      <c r="G964" s="18">
        <f t="shared" si="1192"/>
        <v>37</v>
      </c>
      <c r="H964" s="18">
        <f t="shared" ref="H964:I964" si="1193">H992+H1028</f>
        <v>25</v>
      </c>
      <c r="I964" s="18">
        <f t="shared" si="1193"/>
        <v>22</v>
      </c>
      <c r="J964" s="18">
        <f t="shared" ref="J964:K964" si="1194">J992+J1028</f>
        <v>31</v>
      </c>
      <c r="K964" s="18">
        <f t="shared" si="1194"/>
        <v>33</v>
      </c>
      <c r="L964" s="18">
        <f t="shared" ref="L964:M964" si="1195">L992+L1028</f>
        <v>22</v>
      </c>
      <c r="M964" s="18">
        <f t="shared" si="1195"/>
        <v>22</v>
      </c>
      <c r="N964" s="133">
        <f t="shared" si="1068"/>
        <v>276</v>
      </c>
      <c r="O964" s="19">
        <f t="shared" si="1069"/>
        <v>23</v>
      </c>
      <c r="P964" s="8"/>
      <c r="Q964" s="8"/>
      <c r="R964" s="8"/>
      <c r="S964" s="8"/>
      <c r="T964" s="8"/>
      <c r="U964" s="8"/>
      <c r="V964" s="8"/>
      <c r="W964" s="8"/>
      <c r="X964" s="8"/>
      <c r="Y964" s="8"/>
      <c r="Z964" s="8"/>
    </row>
    <row r="965" spans="1:26" s="9" customFormat="1" ht="15.75">
      <c r="A965" s="34" t="s">
        <v>22</v>
      </c>
      <c r="B965" s="18">
        <f t="shared" ref="B965:C965" si="1196">B993+B1029</f>
        <v>0</v>
      </c>
      <c r="C965" s="18">
        <f t="shared" si="1196"/>
        <v>0</v>
      </c>
      <c r="D965" s="18">
        <f t="shared" ref="D965:E965" si="1197">D993+D1029</f>
        <v>0</v>
      </c>
      <c r="E965" s="18">
        <f t="shared" si="1197"/>
        <v>2</v>
      </c>
      <c r="F965" s="18">
        <f t="shared" ref="F965:G965" si="1198">F993+F1029</f>
        <v>2</v>
      </c>
      <c r="G965" s="18">
        <f t="shared" si="1198"/>
        <v>4</v>
      </c>
      <c r="H965" s="18">
        <f t="shared" ref="H965:I965" si="1199">H993+H1029</f>
        <v>2</v>
      </c>
      <c r="I965" s="18">
        <f t="shared" si="1199"/>
        <v>4</v>
      </c>
      <c r="J965" s="18">
        <f t="shared" ref="J965:K965" si="1200">J993+J1029</f>
        <v>3</v>
      </c>
      <c r="K965" s="18">
        <f t="shared" si="1200"/>
        <v>2</v>
      </c>
      <c r="L965" s="18">
        <f t="shared" ref="L965:M965" si="1201">L993+L1029</f>
        <v>0</v>
      </c>
      <c r="M965" s="18">
        <f t="shared" si="1201"/>
        <v>1</v>
      </c>
      <c r="N965" s="133">
        <f t="shared" si="1068"/>
        <v>20</v>
      </c>
      <c r="O965" s="19">
        <f t="shared" si="1069"/>
        <v>1.6666666666666667</v>
      </c>
      <c r="P965" s="8"/>
      <c r="Q965" s="8"/>
      <c r="R965" s="8"/>
      <c r="S965" s="8"/>
      <c r="T965" s="8"/>
      <c r="U965" s="8"/>
      <c r="V965" s="8"/>
      <c r="W965" s="8"/>
      <c r="X965" s="8"/>
      <c r="Y965" s="8"/>
      <c r="Z965" s="8"/>
    </row>
    <row r="966" spans="1:26" s="9" customFormat="1" ht="15.75">
      <c r="A966" s="56" t="s">
        <v>21</v>
      </c>
      <c r="B966" s="21">
        <f t="shared" ref="B966:C966" si="1202">SUM(B942:B965)</f>
        <v>453</v>
      </c>
      <c r="C966" s="21">
        <f t="shared" si="1202"/>
        <v>729</v>
      </c>
      <c r="D966" s="21">
        <f t="shared" ref="D966:E966" si="1203">SUM(D942:D965)</f>
        <v>577</v>
      </c>
      <c r="E966" s="21">
        <f t="shared" si="1203"/>
        <v>519</v>
      </c>
      <c r="F966" s="21">
        <f t="shared" ref="F966:G966" si="1204">SUM(F942:F965)</f>
        <v>762</v>
      </c>
      <c r="G966" s="21">
        <f t="shared" si="1204"/>
        <v>756</v>
      </c>
      <c r="H966" s="21">
        <f t="shared" ref="H966:I966" si="1205">SUM(H942:H965)</f>
        <v>839</v>
      </c>
      <c r="I966" s="21">
        <f t="shared" si="1205"/>
        <v>742</v>
      </c>
      <c r="J966" s="21">
        <f t="shared" ref="J966:K966" si="1206">SUM(J942:J965)</f>
        <v>741</v>
      </c>
      <c r="K966" s="21">
        <f t="shared" si="1206"/>
        <v>867</v>
      </c>
      <c r="L966" s="21">
        <f t="shared" ref="L966:M966" si="1207">SUM(L942:L965)</f>
        <v>639</v>
      </c>
      <c r="M966" s="21">
        <f t="shared" si="1207"/>
        <v>961</v>
      </c>
      <c r="N966" s="128">
        <f>SUM(N942:N965)</f>
        <v>8585</v>
      </c>
      <c r="O966" s="22">
        <f>SUM(O942:O965)</f>
        <v>715.41666666666663</v>
      </c>
      <c r="P966" s="8"/>
      <c r="Q966" s="8"/>
      <c r="R966" s="8"/>
      <c r="S966" s="8"/>
      <c r="T966" s="8"/>
      <c r="U966" s="8"/>
      <c r="V966" s="8"/>
      <c r="W966" s="8"/>
      <c r="X966" s="8"/>
      <c r="Y966" s="8"/>
      <c r="Z966" s="8"/>
    </row>
    <row r="967" spans="1:26" s="9" customFormat="1" ht="15.75">
      <c r="A967" s="56" t="s">
        <v>112</v>
      </c>
      <c r="B967" s="22">
        <f t="shared" ref="B967:H967" si="1208">IF(B966=0,"",B966/B$1676)</f>
        <v>14.612903225806452</v>
      </c>
      <c r="C967" s="22">
        <f t="shared" si="1208"/>
        <v>26.035714285714285</v>
      </c>
      <c r="D967" s="22">
        <f t="shared" si="1208"/>
        <v>18.612903225806452</v>
      </c>
      <c r="E967" s="22">
        <f t="shared" si="1208"/>
        <v>17.3</v>
      </c>
      <c r="F967" s="22">
        <f t="shared" si="1208"/>
        <v>24.580645161290324</v>
      </c>
      <c r="G967" s="22">
        <f t="shared" si="1208"/>
        <v>25.2</v>
      </c>
      <c r="H967" s="22">
        <f t="shared" si="1208"/>
        <v>27.06451612903226</v>
      </c>
      <c r="I967" s="22">
        <f t="shared" ref="I967:J967" si="1209">IF(I966=0,"",I966/I$1676)</f>
        <v>23.93548387096774</v>
      </c>
      <c r="J967" s="22">
        <f t="shared" si="1209"/>
        <v>24.7</v>
      </c>
      <c r="K967" s="22">
        <f t="shared" ref="K967:L967" si="1210">IF(K966=0,"",K966/K$1676)</f>
        <v>27.967741935483872</v>
      </c>
      <c r="L967" s="22">
        <f t="shared" si="1210"/>
        <v>21.3</v>
      </c>
      <c r="M967" s="22">
        <f t="shared" ref="M967" si="1211">IF(M966=0,"",M966/M$1676)</f>
        <v>31</v>
      </c>
      <c r="N967" s="128">
        <f>SUM(B967:M967)</f>
        <v>282.30990783410141</v>
      </c>
      <c r="O967" s="22">
        <f>IF(N967=0,0,AVERAGE(B967:M967))</f>
        <v>23.525825652841785</v>
      </c>
      <c r="P967" s="8"/>
      <c r="Q967" s="8"/>
      <c r="R967" s="8"/>
      <c r="S967" s="8"/>
      <c r="T967" s="8"/>
      <c r="U967" s="8"/>
      <c r="V967" s="8"/>
      <c r="W967" s="8"/>
      <c r="X967" s="8"/>
      <c r="Y967" s="8"/>
      <c r="Z967" s="8"/>
    </row>
    <row r="968" spans="1:26" s="9" customFormat="1">
      <c r="A968" s="460"/>
      <c r="B968" s="461"/>
      <c r="C968" s="461"/>
      <c r="D968" s="461"/>
      <c r="E968" s="462"/>
      <c r="F968" s="462"/>
      <c r="G968" s="462"/>
      <c r="H968" s="462"/>
      <c r="I968" s="462"/>
      <c r="J968" s="462"/>
      <c r="K968" s="462"/>
      <c r="L968" s="462"/>
      <c r="M968" s="462"/>
      <c r="N968" s="463"/>
      <c r="O968" s="222"/>
      <c r="P968" s="8"/>
      <c r="Q968" s="8"/>
      <c r="R968" s="8"/>
      <c r="S968" s="8"/>
      <c r="T968" s="8"/>
      <c r="U968" s="8"/>
      <c r="V968" s="8"/>
      <c r="W968" s="8"/>
      <c r="X968" s="8"/>
      <c r="Y968" s="8"/>
      <c r="Z968" s="8"/>
    </row>
    <row r="969" spans="1:26" s="9" customFormat="1" ht="15.75">
      <c r="A969" s="60" t="s">
        <v>759</v>
      </c>
      <c r="B969" s="75"/>
      <c r="C969" s="75"/>
      <c r="D969" s="75"/>
      <c r="E969" s="75"/>
      <c r="F969" s="75"/>
      <c r="G969" s="75"/>
      <c r="H969" s="75"/>
      <c r="I969" s="75"/>
      <c r="J969" s="75"/>
      <c r="K969" s="75"/>
      <c r="L969" s="75"/>
      <c r="M969" s="75"/>
      <c r="N969" s="146"/>
      <c r="O969" s="76"/>
      <c r="P969" s="8"/>
      <c r="Q969" s="8"/>
      <c r="R969" s="8"/>
      <c r="S969" s="8"/>
      <c r="T969" s="8"/>
      <c r="U969" s="8"/>
      <c r="V969" s="8"/>
      <c r="W969" s="8"/>
      <c r="X969" s="8"/>
      <c r="Y969" s="8"/>
      <c r="Z969" s="8"/>
    </row>
    <row r="970" spans="1:26" s="9" customFormat="1" ht="15.75">
      <c r="A970" s="104" t="s">
        <v>383</v>
      </c>
      <c r="B970" s="18">
        <v>0</v>
      </c>
      <c r="C970" s="18">
        <v>0</v>
      </c>
      <c r="D970" s="18">
        <v>1</v>
      </c>
      <c r="E970" s="18">
        <v>0</v>
      </c>
      <c r="F970" s="18">
        <v>0</v>
      </c>
      <c r="G970" s="18">
        <v>1</v>
      </c>
      <c r="H970" s="18">
        <v>3</v>
      </c>
      <c r="I970" s="18">
        <v>2</v>
      </c>
      <c r="J970" s="18">
        <v>0</v>
      </c>
      <c r="K970" s="18">
        <v>2</v>
      </c>
      <c r="L970" s="18">
        <v>1</v>
      </c>
      <c r="M970" s="18">
        <v>1</v>
      </c>
      <c r="N970" s="133">
        <f t="shared" ref="N970:N993" si="1212">SUM(B970:M970)</f>
        <v>11</v>
      </c>
      <c r="O970" s="19">
        <f t="shared" ref="O970:O993" si="1213">IF(N970=0,0,AVERAGE(B970:M970))</f>
        <v>0.91666666666666663</v>
      </c>
      <c r="P970" s="8"/>
      <c r="Q970" s="8"/>
      <c r="R970" s="8"/>
      <c r="S970" s="8"/>
      <c r="T970" s="8"/>
      <c r="U970" s="8"/>
      <c r="V970" s="8"/>
      <c r="W970" s="8"/>
      <c r="X970" s="8"/>
      <c r="Y970" s="8"/>
      <c r="Z970" s="8"/>
    </row>
    <row r="971" spans="1:26" s="9" customFormat="1" ht="15.75">
      <c r="A971" s="104" t="s">
        <v>605</v>
      </c>
      <c r="B971" s="18">
        <v>1</v>
      </c>
      <c r="C971" s="18">
        <v>1</v>
      </c>
      <c r="D971" s="18">
        <v>1</v>
      </c>
      <c r="E971" s="18">
        <v>1</v>
      </c>
      <c r="F971" s="18">
        <v>4</v>
      </c>
      <c r="G971" s="18">
        <v>2</v>
      </c>
      <c r="H971" s="18">
        <v>3</v>
      </c>
      <c r="I971" s="18">
        <f>4+1</f>
        <v>5</v>
      </c>
      <c r="J971" s="18">
        <v>2</v>
      </c>
      <c r="K971" s="18">
        <v>3</v>
      </c>
      <c r="L971" s="18">
        <f>1+1+1</f>
        <v>3</v>
      </c>
      <c r="M971" s="18">
        <v>7</v>
      </c>
      <c r="N971" s="133">
        <f t="shared" si="1212"/>
        <v>33</v>
      </c>
      <c r="O971" s="19">
        <f t="shared" si="1213"/>
        <v>2.75</v>
      </c>
      <c r="P971" s="8"/>
      <c r="Q971" s="8"/>
      <c r="R971" s="8"/>
      <c r="S971" s="8"/>
      <c r="T971" s="8"/>
      <c r="U971" s="8"/>
      <c r="V971" s="8"/>
      <c r="W971" s="8"/>
      <c r="X971" s="8"/>
      <c r="Y971" s="8"/>
      <c r="Z971" s="8"/>
    </row>
    <row r="972" spans="1:26" s="9" customFormat="1" ht="15.75">
      <c r="A972" s="104" t="s">
        <v>606</v>
      </c>
      <c r="B972" s="18">
        <v>0</v>
      </c>
      <c r="C972" s="18">
        <v>0</v>
      </c>
      <c r="D972" s="18">
        <v>0</v>
      </c>
      <c r="E972" s="18">
        <v>0</v>
      </c>
      <c r="F972" s="18">
        <v>0</v>
      </c>
      <c r="G972" s="18">
        <v>0</v>
      </c>
      <c r="H972" s="18">
        <v>0</v>
      </c>
      <c r="I972" s="18">
        <v>0</v>
      </c>
      <c r="J972" s="18">
        <v>0</v>
      </c>
      <c r="K972" s="18">
        <v>0</v>
      </c>
      <c r="L972" s="18">
        <v>0</v>
      </c>
      <c r="M972" s="18">
        <v>0</v>
      </c>
      <c r="N972" s="133">
        <f t="shared" si="1212"/>
        <v>0</v>
      </c>
      <c r="O972" s="19">
        <f t="shared" si="1213"/>
        <v>0</v>
      </c>
      <c r="P972" s="8"/>
      <c r="Q972" s="8"/>
      <c r="R972" s="8"/>
      <c r="S972" s="8"/>
      <c r="T972" s="8"/>
      <c r="U972" s="8"/>
      <c r="V972" s="8"/>
      <c r="W972" s="8"/>
      <c r="X972" s="8"/>
      <c r="Y972" s="8"/>
      <c r="Z972" s="8"/>
    </row>
    <row r="973" spans="1:26" s="9" customFormat="1" ht="15.75">
      <c r="A973" s="104" t="s">
        <v>607</v>
      </c>
      <c r="B973" s="18">
        <v>0</v>
      </c>
      <c r="C973" s="18">
        <v>0</v>
      </c>
      <c r="D973" s="18">
        <v>0</v>
      </c>
      <c r="E973" s="18">
        <v>0</v>
      </c>
      <c r="F973" s="18">
        <v>0</v>
      </c>
      <c r="G973" s="18">
        <v>0</v>
      </c>
      <c r="H973" s="18">
        <v>0</v>
      </c>
      <c r="I973" s="18">
        <v>0</v>
      </c>
      <c r="J973" s="18">
        <v>0</v>
      </c>
      <c r="K973" s="18">
        <v>0</v>
      </c>
      <c r="L973" s="18">
        <v>0</v>
      </c>
      <c r="M973" s="18">
        <v>0</v>
      </c>
      <c r="N973" s="133">
        <f t="shared" si="1212"/>
        <v>0</v>
      </c>
      <c r="O973" s="19">
        <f t="shared" si="1213"/>
        <v>0</v>
      </c>
      <c r="P973" s="8"/>
      <c r="Q973" s="8"/>
      <c r="R973" s="8"/>
      <c r="S973" s="8"/>
      <c r="T973" s="8"/>
      <c r="U973" s="8"/>
      <c r="V973" s="8"/>
      <c r="W973" s="8"/>
      <c r="X973" s="8"/>
      <c r="Y973" s="8"/>
      <c r="Z973" s="8"/>
    </row>
    <row r="974" spans="1:26" s="9" customFormat="1" ht="15.75">
      <c r="A974" s="104" t="s">
        <v>613</v>
      </c>
      <c r="B974" s="18">
        <v>0</v>
      </c>
      <c r="C974" s="18">
        <v>0</v>
      </c>
      <c r="D974" s="18">
        <v>1</v>
      </c>
      <c r="E974" s="18">
        <v>0</v>
      </c>
      <c r="F974" s="18">
        <v>0</v>
      </c>
      <c r="G974" s="18">
        <v>0</v>
      </c>
      <c r="H974" s="18">
        <v>0</v>
      </c>
      <c r="I974" s="18">
        <v>0</v>
      </c>
      <c r="J974" s="18">
        <v>0</v>
      </c>
      <c r="K974" s="18">
        <v>0</v>
      </c>
      <c r="L974" s="18">
        <v>0</v>
      </c>
      <c r="M974" s="18">
        <v>1</v>
      </c>
      <c r="N974" s="133">
        <f t="shared" si="1212"/>
        <v>2</v>
      </c>
      <c r="O974" s="19">
        <f t="shared" si="1213"/>
        <v>0.16666666666666666</v>
      </c>
      <c r="P974" s="8"/>
      <c r="Q974" s="8"/>
      <c r="R974" s="8"/>
      <c r="S974" s="8"/>
      <c r="T974" s="8"/>
      <c r="U974" s="8"/>
      <c r="V974" s="8"/>
      <c r="W974" s="8"/>
      <c r="X974" s="8"/>
      <c r="Y974" s="8"/>
      <c r="Z974" s="8"/>
    </row>
    <row r="975" spans="1:26" s="9" customFormat="1" ht="15.75">
      <c r="A975" s="104" t="s">
        <v>611</v>
      </c>
      <c r="B975" s="18">
        <v>0</v>
      </c>
      <c r="C975" s="18">
        <v>0</v>
      </c>
      <c r="D975" s="18">
        <v>0</v>
      </c>
      <c r="E975" s="18">
        <v>0</v>
      </c>
      <c r="F975" s="18">
        <v>0</v>
      </c>
      <c r="G975" s="18">
        <v>0</v>
      </c>
      <c r="H975" s="18">
        <v>0</v>
      </c>
      <c r="I975" s="18">
        <v>0</v>
      </c>
      <c r="J975" s="18">
        <v>0</v>
      </c>
      <c r="K975" s="18">
        <v>1</v>
      </c>
      <c r="L975" s="18">
        <v>0</v>
      </c>
      <c r="M975" s="18">
        <v>0</v>
      </c>
      <c r="N975" s="133">
        <f t="shared" si="1212"/>
        <v>1</v>
      </c>
      <c r="O975" s="19">
        <f t="shared" si="1213"/>
        <v>8.3333333333333329E-2</v>
      </c>
      <c r="P975" s="8"/>
      <c r="Q975" s="8"/>
      <c r="R975" s="8"/>
      <c r="S975" s="8"/>
      <c r="T975" s="8"/>
      <c r="U975" s="8"/>
      <c r="V975" s="8"/>
      <c r="W975" s="8"/>
      <c r="X975" s="8"/>
      <c r="Y975" s="8"/>
      <c r="Z975" s="8"/>
    </row>
    <row r="976" spans="1:26" s="9" customFormat="1" ht="15.75">
      <c r="A976" s="34" t="s">
        <v>157</v>
      </c>
      <c r="B976" s="18">
        <v>0</v>
      </c>
      <c r="C976" s="18">
        <v>0</v>
      </c>
      <c r="D976" s="18">
        <v>0</v>
      </c>
      <c r="E976" s="18">
        <v>0</v>
      </c>
      <c r="F976" s="18">
        <v>0</v>
      </c>
      <c r="G976" s="18">
        <v>1</v>
      </c>
      <c r="H976" s="18">
        <v>0</v>
      </c>
      <c r="I976" s="18">
        <v>0</v>
      </c>
      <c r="J976" s="18">
        <v>0</v>
      </c>
      <c r="K976" s="18">
        <v>0</v>
      </c>
      <c r="L976" s="18">
        <v>0</v>
      </c>
      <c r="M976" s="18">
        <v>0</v>
      </c>
      <c r="N976" s="133">
        <f t="shared" si="1212"/>
        <v>1</v>
      </c>
      <c r="O976" s="19">
        <f t="shared" si="1213"/>
        <v>8.3333333333333329E-2</v>
      </c>
      <c r="P976" s="8"/>
      <c r="Q976" s="8"/>
      <c r="R976" s="8"/>
      <c r="S976" s="8"/>
      <c r="T976" s="8"/>
      <c r="U976" s="8"/>
      <c r="V976" s="8"/>
      <c r="W976" s="8"/>
      <c r="X976" s="8"/>
      <c r="Y976" s="8"/>
      <c r="Z976" s="8"/>
    </row>
    <row r="977" spans="1:26" s="9" customFormat="1" ht="15.75">
      <c r="A977" s="34" t="s">
        <v>597</v>
      </c>
      <c r="B977" s="18">
        <v>0</v>
      </c>
      <c r="C977" s="18">
        <v>0</v>
      </c>
      <c r="D977" s="18">
        <v>0</v>
      </c>
      <c r="E977" s="18">
        <v>1</v>
      </c>
      <c r="F977" s="18">
        <v>1</v>
      </c>
      <c r="G977" s="18">
        <v>2</v>
      </c>
      <c r="H977" s="18">
        <v>0</v>
      </c>
      <c r="I977" s="18">
        <v>0</v>
      </c>
      <c r="J977" s="18">
        <v>0</v>
      </c>
      <c r="K977" s="18">
        <v>0</v>
      </c>
      <c r="L977" s="18">
        <v>0</v>
      </c>
      <c r="M977" s="18">
        <v>0</v>
      </c>
      <c r="N977" s="133">
        <f t="shared" ref="N977:N986" si="1214">SUM(B977:M977)</f>
        <v>4</v>
      </c>
      <c r="O977" s="19">
        <f t="shared" ref="O977:O986" si="1215">IF(N977=0,0,AVERAGE(B977:M977))</f>
        <v>0.33333333333333331</v>
      </c>
      <c r="P977" s="8"/>
      <c r="Q977" s="8"/>
      <c r="R977" s="8"/>
      <c r="S977" s="8"/>
      <c r="T977" s="8"/>
      <c r="U977" s="8"/>
      <c r="V977" s="8"/>
      <c r="W977" s="8"/>
      <c r="X977" s="8"/>
      <c r="Y977" s="8"/>
      <c r="Z977" s="8"/>
    </row>
    <row r="978" spans="1:26" s="9" customFormat="1" ht="15.75">
      <c r="A978" s="34" t="s">
        <v>379</v>
      </c>
      <c r="B978" s="18">
        <v>0</v>
      </c>
      <c r="C978" s="18">
        <v>0</v>
      </c>
      <c r="D978" s="18">
        <v>0</v>
      </c>
      <c r="E978" s="18">
        <v>0</v>
      </c>
      <c r="F978" s="18">
        <v>0</v>
      </c>
      <c r="G978" s="18">
        <v>1</v>
      </c>
      <c r="H978" s="18">
        <v>0</v>
      </c>
      <c r="I978" s="18">
        <v>0</v>
      </c>
      <c r="J978" s="18">
        <v>0</v>
      </c>
      <c r="K978" s="18">
        <v>1</v>
      </c>
      <c r="L978" s="18">
        <v>0</v>
      </c>
      <c r="M978" s="18">
        <v>0</v>
      </c>
      <c r="N978" s="133">
        <f t="shared" si="1214"/>
        <v>2</v>
      </c>
      <c r="O978" s="19">
        <f t="shared" si="1215"/>
        <v>0.16666666666666666</v>
      </c>
      <c r="P978" s="8"/>
      <c r="Q978" s="8"/>
      <c r="R978" s="8"/>
      <c r="S978" s="8"/>
      <c r="T978" s="8"/>
      <c r="U978" s="8"/>
      <c r="V978" s="8"/>
      <c r="W978" s="8"/>
      <c r="X978" s="8"/>
      <c r="Y978" s="8"/>
      <c r="Z978" s="8"/>
    </row>
    <row r="979" spans="1:26" s="9" customFormat="1" ht="15.75">
      <c r="A979" s="34" t="s">
        <v>609</v>
      </c>
      <c r="B979" s="18">
        <v>0</v>
      </c>
      <c r="C979" s="18">
        <v>0</v>
      </c>
      <c r="D979" s="18">
        <v>0</v>
      </c>
      <c r="E979" s="18">
        <v>2</v>
      </c>
      <c r="F979" s="18">
        <v>0</v>
      </c>
      <c r="G979" s="18">
        <v>0</v>
      </c>
      <c r="H979" s="18">
        <v>0</v>
      </c>
      <c r="I979" s="18">
        <v>0</v>
      </c>
      <c r="J979" s="18">
        <v>0</v>
      </c>
      <c r="K979" s="18">
        <v>1</v>
      </c>
      <c r="L979" s="18">
        <v>0</v>
      </c>
      <c r="M979" s="18">
        <v>0</v>
      </c>
      <c r="N979" s="133">
        <f t="shared" si="1214"/>
        <v>3</v>
      </c>
      <c r="O979" s="19">
        <f t="shared" si="1215"/>
        <v>0.25</v>
      </c>
      <c r="P979" s="8"/>
      <c r="Q979" s="8"/>
      <c r="R979" s="8"/>
      <c r="S979" s="8"/>
      <c r="T979" s="8"/>
      <c r="U979" s="8"/>
      <c r="V979" s="8"/>
      <c r="W979" s="8"/>
      <c r="X979" s="8"/>
      <c r="Y979" s="8"/>
      <c r="Z979" s="8"/>
    </row>
    <row r="980" spans="1:26" s="9" customFormat="1" ht="15.75">
      <c r="A980" s="34" t="s">
        <v>614</v>
      </c>
      <c r="B980" s="18">
        <v>0</v>
      </c>
      <c r="C980" s="18">
        <v>0</v>
      </c>
      <c r="D980" s="18">
        <v>0</v>
      </c>
      <c r="E980" s="18">
        <v>0</v>
      </c>
      <c r="F980" s="18">
        <v>0</v>
      </c>
      <c r="G980" s="18">
        <v>0</v>
      </c>
      <c r="H980" s="18">
        <v>0</v>
      </c>
      <c r="I980" s="18">
        <v>0</v>
      </c>
      <c r="J980" s="18">
        <v>0</v>
      </c>
      <c r="K980" s="18">
        <v>0</v>
      </c>
      <c r="L980" s="18">
        <v>0</v>
      </c>
      <c r="M980" s="18">
        <v>0</v>
      </c>
      <c r="N980" s="133">
        <f t="shared" si="1214"/>
        <v>0</v>
      </c>
      <c r="O980" s="19">
        <f t="shared" si="1215"/>
        <v>0</v>
      </c>
      <c r="P980" s="8"/>
      <c r="Q980" s="8"/>
      <c r="R980" s="8"/>
      <c r="S980" s="8"/>
      <c r="T980" s="8"/>
      <c r="U980" s="8"/>
      <c r="V980" s="8"/>
      <c r="W980" s="8"/>
      <c r="X980" s="8"/>
      <c r="Y980" s="8"/>
      <c r="Z980" s="8"/>
    </row>
    <row r="981" spans="1:26" s="9" customFormat="1" ht="15.75">
      <c r="A981" s="34" t="s">
        <v>158</v>
      </c>
      <c r="B981" s="18">
        <v>0</v>
      </c>
      <c r="C981" s="18">
        <v>0</v>
      </c>
      <c r="D981" s="18">
        <v>0</v>
      </c>
      <c r="E981" s="18">
        <v>0</v>
      </c>
      <c r="F981" s="18">
        <v>0</v>
      </c>
      <c r="G981" s="18">
        <v>0</v>
      </c>
      <c r="H981" s="18">
        <v>0</v>
      </c>
      <c r="I981" s="18">
        <v>0</v>
      </c>
      <c r="J981" s="18">
        <v>0</v>
      </c>
      <c r="K981" s="18">
        <v>0</v>
      </c>
      <c r="L981" s="18">
        <v>0</v>
      </c>
      <c r="M981" s="18">
        <v>0</v>
      </c>
      <c r="N981" s="133">
        <f t="shared" si="1214"/>
        <v>0</v>
      </c>
      <c r="O981" s="19">
        <f t="shared" si="1215"/>
        <v>0</v>
      </c>
      <c r="P981" s="8"/>
      <c r="Q981" s="8"/>
      <c r="R981" s="8"/>
      <c r="S981" s="8"/>
      <c r="T981" s="8"/>
      <c r="U981" s="8"/>
      <c r="V981" s="8"/>
      <c r="W981" s="8"/>
      <c r="X981" s="8"/>
      <c r="Y981" s="8"/>
      <c r="Z981" s="8"/>
    </row>
    <row r="982" spans="1:26" s="9" customFormat="1" ht="15.75">
      <c r="A982" s="34" t="s">
        <v>159</v>
      </c>
      <c r="B982" s="18">
        <v>0</v>
      </c>
      <c r="C982" s="18">
        <v>0</v>
      </c>
      <c r="D982" s="18">
        <v>0</v>
      </c>
      <c r="E982" s="18">
        <v>0</v>
      </c>
      <c r="F982" s="18">
        <v>0</v>
      </c>
      <c r="G982" s="18">
        <v>0</v>
      </c>
      <c r="H982" s="18">
        <v>0</v>
      </c>
      <c r="I982" s="18">
        <v>0</v>
      </c>
      <c r="J982" s="18">
        <v>0</v>
      </c>
      <c r="K982" s="18">
        <v>0</v>
      </c>
      <c r="L982" s="18">
        <v>0</v>
      </c>
      <c r="M982" s="18">
        <v>1</v>
      </c>
      <c r="N982" s="133">
        <f t="shared" si="1214"/>
        <v>1</v>
      </c>
      <c r="O982" s="19">
        <f t="shared" si="1215"/>
        <v>8.3333333333333329E-2</v>
      </c>
      <c r="P982" s="8"/>
      <c r="Q982" s="8"/>
      <c r="R982" s="8"/>
      <c r="S982" s="8"/>
      <c r="T982" s="8"/>
      <c r="U982" s="8"/>
      <c r="V982" s="8"/>
      <c r="W982" s="8"/>
      <c r="X982" s="8"/>
      <c r="Y982" s="8"/>
      <c r="Z982" s="8"/>
    </row>
    <row r="983" spans="1:26" s="9" customFormat="1" ht="15.75">
      <c r="A983" s="34" t="s">
        <v>160</v>
      </c>
      <c r="B983" s="18">
        <v>0</v>
      </c>
      <c r="C983" s="18">
        <v>0</v>
      </c>
      <c r="D983" s="18">
        <v>0</v>
      </c>
      <c r="E983" s="18">
        <v>2</v>
      </c>
      <c r="F983" s="18">
        <v>0</v>
      </c>
      <c r="G983" s="18">
        <v>0</v>
      </c>
      <c r="H983" s="18">
        <v>0</v>
      </c>
      <c r="I983" s="18">
        <v>0</v>
      </c>
      <c r="J983" s="18">
        <v>0</v>
      </c>
      <c r="K983" s="18">
        <v>0</v>
      </c>
      <c r="L983" s="18">
        <v>0</v>
      </c>
      <c r="M983" s="18">
        <v>0</v>
      </c>
      <c r="N983" s="133">
        <f t="shared" si="1214"/>
        <v>2</v>
      </c>
      <c r="O983" s="19">
        <f t="shared" si="1215"/>
        <v>0.16666666666666666</v>
      </c>
      <c r="P983" s="8"/>
      <c r="Q983" s="8"/>
      <c r="R983" s="8"/>
      <c r="S983" s="8"/>
      <c r="T983" s="8"/>
      <c r="U983" s="8"/>
      <c r="V983" s="8"/>
      <c r="W983" s="8"/>
      <c r="X983" s="8"/>
      <c r="Y983" s="8"/>
      <c r="Z983" s="8"/>
    </row>
    <row r="984" spans="1:26" s="9" customFormat="1" ht="15.75">
      <c r="A984" s="34" t="s">
        <v>287</v>
      </c>
      <c r="B984" s="18">
        <v>0</v>
      </c>
      <c r="C984" s="18">
        <v>2</v>
      </c>
      <c r="D984" s="18">
        <v>0</v>
      </c>
      <c r="E984" s="18">
        <v>4</v>
      </c>
      <c r="F984" s="18">
        <v>0</v>
      </c>
      <c r="G984" s="18">
        <v>1</v>
      </c>
      <c r="H984" s="18">
        <v>0</v>
      </c>
      <c r="I984" s="18">
        <v>2</v>
      </c>
      <c r="J984" s="18">
        <v>0</v>
      </c>
      <c r="K984" s="18">
        <v>0</v>
      </c>
      <c r="L984" s="18">
        <v>1</v>
      </c>
      <c r="M984" s="18">
        <v>1</v>
      </c>
      <c r="N984" s="133">
        <f t="shared" si="1214"/>
        <v>11</v>
      </c>
      <c r="O984" s="19">
        <f t="shared" si="1215"/>
        <v>0.91666666666666663</v>
      </c>
      <c r="P984" s="8"/>
      <c r="Q984" s="8"/>
      <c r="R984" s="8"/>
      <c r="S984" s="8"/>
      <c r="T984" s="8"/>
      <c r="U984" s="8"/>
      <c r="V984" s="8"/>
      <c r="W984" s="8"/>
      <c r="X984" s="8"/>
      <c r="Y984" s="8"/>
      <c r="Z984" s="8"/>
    </row>
    <row r="985" spans="1:26" s="9" customFormat="1" ht="15.75">
      <c r="A985" s="34" t="s">
        <v>610</v>
      </c>
      <c r="B985" s="18">
        <v>0</v>
      </c>
      <c r="C985" s="18">
        <v>0</v>
      </c>
      <c r="D985" s="18">
        <v>0</v>
      </c>
      <c r="E985" s="18">
        <v>1</v>
      </c>
      <c r="F985" s="18">
        <v>0</v>
      </c>
      <c r="G985" s="18">
        <v>1</v>
      </c>
      <c r="H985" s="18">
        <v>2</v>
      </c>
      <c r="I985" s="18">
        <v>0</v>
      </c>
      <c r="J985" s="18">
        <v>0</v>
      </c>
      <c r="K985" s="18">
        <v>4</v>
      </c>
      <c r="L985" s="18">
        <f>1</f>
        <v>1</v>
      </c>
      <c r="M985" s="18">
        <v>1</v>
      </c>
      <c r="N985" s="133">
        <f t="shared" si="1214"/>
        <v>10</v>
      </c>
      <c r="O985" s="19">
        <f t="shared" si="1215"/>
        <v>0.83333333333333337</v>
      </c>
      <c r="P985" s="8"/>
      <c r="Q985" s="8"/>
      <c r="R985" s="8"/>
      <c r="S985" s="8"/>
      <c r="T985" s="8"/>
      <c r="U985" s="8"/>
      <c r="V985" s="8"/>
      <c r="W985" s="8"/>
      <c r="X985" s="8"/>
      <c r="Y985" s="8"/>
      <c r="Z985" s="8"/>
    </row>
    <row r="986" spans="1:26" s="9" customFormat="1" ht="15.75">
      <c r="A986" s="34" t="s">
        <v>161</v>
      </c>
      <c r="B986" s="18">
        <v>0</v>
      </c>
      <c r="C986" s="18">
        <v>0</v>
      </c>
      <c r="D986" s="18">
        <v>0</v>
      </c>
      <c r="E986" s="18">
        <v>0</v>
      </c>
      <c r="F986" s="18">
        <v>0</v>
      </c>
      <c r="G986" s="18">
        <v>0</v>
      </c>
      <c r="H986" s="18">
        <v>0</v>
      </c>
      <c r="I986" s="18">
        <v>0</v>
      </c>
      <c r="J986" s="18">
        <v>0</v>
      </c>
      <c r="K986" s="18">
        <v>0</v>
      </c>
      <c r="L986" s="18">
        <v>0</v>
      </c>
      <c r="M986" s="18">
        <v>0</v>
      </c>
      <c r="N986" s="133">
        <f t="shared" si="1214"/>
        <v>0</v>
      </c>
      <c r="O986" s="19">
        <f t="shared" si="1215"/>
        <v>0</v>
      </c>
      <c r="P986" s="8"/>
      <c r="Q986" s="8"/>
      <c r="R986" s="8"/>
      <c r="S986" s="8"/>
      <c r="T986" s="8"/>
      <c r="U986" s="8"/>
      <c r="V986" s="8"/>
      <c r="W986" s="8"/>
      <c r="X986" s="8"/>
      <c r="Y986" s="8"/>
      <c r="Z986" s="8"/>
    </row>
    <row r="987" spans="1:26" s="9" customFormat="1" ht="15.75">
      <c r="A987" s="34" t="s">
        <v>608</v>
      </c>
      <c r="B987" s="18">
        <v>0</v>
      </c>
      <c r="C987" s="18">
        <v>0</v>
      </c>
      <c r="D987" s="18">
        <v>0</v>
      </c>
      <c r="E987" s="18">
        <v>0</v>
      </c>
      <c r="F987" s="18">
        <v>1</v>
      </c>
      <c r="G987" s="18">
        <v>0</v>
      </c>
      <c r="H987" s="18">
        <v>0</v>
      </c>
      <c r="I987" s="18">
        <v>2</v>
      </c>
      <c r="J987" s="18">
        <v>0</v>
      </c>
      <c r="K987" s="18">
        <v>0</v>
      </c>
      <c r="L987" s="18">
        <v>0</v>
      </c>
      <c r="M987" s="18">
        <v>1</v>
      </c>
      <c r="N987" s="133">
        <f t="shared" si="1212"/>
        <v>4</v>
      </c>
      <c r="O987" s="19">
        <f t="shared" si="1213"/>
        <v>0.33333333333333331</v>
      </c>
      <c r="P987" s="8"/>
      <c r="Q987" s="8"/>
      <c r="R987" s="8"/>
      <c r="S987" s="8"/>
      <c r="T987" s="8"/>
      <c r="U987" s="8"/>
      <c r="V987" s="8"/>
      <c r="W987" s="8"/>
      <c r="X987" s="8"/>
      <c r="Y987" s="8"/>
      <c r="Z987" s="8"/>
    </row>
    <row r="988" spans="1:26" s="9" customFormat="1" ht="15.75">
      <c r="A988" s="34" t="s">
        <v>162</v>
      </c>
      <c r="B988" s="18">
        <v>0</v>
      </c>
      <c r="C988" s="18">
        <v>0</v>
      </c>
      <c r="D988" s="18">
        <v>0</v>
      </c>
      <c r="E988" s="18">
        <v>3</v>
      </c>
      <c r="F988" s="18">
        <v>0</v>
      </c>
      <c r="G988" s="18">
        <v>4</v>
      </c>
      <c r="H988" s="18">
        <v>1</v>
      </c>
      <c r="I988" s="18">
        <v>1</v>
      </c>
      <c r="J988" s="18">
        <v>0</v>
      </c>
      <c r="K988" s="18">
        <v>0</v>
      </c>
      <c r="L988" s="18">
        <v>0</v>
      </c>
      <c r="M988" s="18">
        <v>0</v>
      </c>
      <c r="N988" s="133">
        <f t="shared" si="1212"/>
        <v>9</v>
      </c>
      <c r="O988" s="19">
        <f t="shared" si="1213"/>
        <v>0.75</v>
      </c>
      <c r="P988" s="10"/>
      <c r="Q988" s="10"/>
      <c r="R988" s="10"/>
      <c r="S988" s="10"/>
      <c r="T988" s="10"/>
      <c r="U988" s="10"/>
      <c r="V988" s="10"/>
      <c r="W988" s="10"/>
      <c r="X988" s="10"/>
      <c r="Y988" s="10"/>
      <c r="Z988" s="10"/>
    </row>
    <row r="989" spans="1:26" s="9" customFormat="1" ht="15.75">
      <c r="A989" s="34" t="s">
        <v>163</v>
      </c>
      <c r="B989" s="18">
        <v>0</v>
      </c>
      <c r="C989" s="18">
        <v>0</v>
      </c>
      <c r="D989" s="18">
        <v>1</v>
      </c>
      <c r="E989" s="18">
        <v>0</v>
      </c>
      <c r="F989" s="18">
        <v>0</v>
      </c>
      <c r="G989" s="18">
        <v>1</v>
      </c>
      <c r="H989" s="18">
        <v>0</v>
      </c>
      <c r="I989" s="18">
        <f>1</f>
        <v>1</v>
      </c>
      <c r="J989" s="18">
        <v>0</v>
      </c>
      <c r="K989" s="18">
        <v>2</v>
      </c>
      <c r="L989" s="18">
        <v>0</v>
      </c>
      <c r="M989" s="18">
        <v>2</v>
      </c>
      <c r="N989" s="133">
        <f t="shared" si="1212"/>
        <v>7</v>
      </c>
      <c r="O989" s="19">
        <f t="shared" si="1213"/>
        <v>0.58333333333333337</v>
      </c>
      <c r="P989" s="10"/>
      <c r="Q989" s="10"/>
      <c r="R989" s="10"/>
      <c r="S989" s="10"/>
      <c r="T989" s="10"/>
      <c r="U989" s="10"/>
      <c r="V989" s="10"/>
      <c r="W989" s="10"/>
      <c r="X989" s="10"/>
      <c r="Y989" s="10"/>
      <c r="Z989" s="10"/>
    </row>
    <row r="990" spans="1:26" s="9" customFormat="1" ht="15.75">
      <c r="A990" s="34" t="s">
        <v>612</v>
      </c>
      <c r="B990" s="18">
        <v>0</v>
      </c>
      <c r="C990" s="18">
        <v>0</v>
      </c>
      <c r="D990" s="18">
        <v>0</v>
      </c>
      <c r="E990" s="18">
        <v>0</v>
      </c>
      <c r="F990" s="18">
        <v>0</v>
      </c>
      <c r="G990" s="18">
        <v>0</v>
      </c>
      <c r="H990" s="18">
        <v>0</v>
      </c>
      <c r="I990" s="18">
        <v>0</v>
      </c>
      <c r="J990" s="18">
        <v>1</v>
      </c>
      <c r="K990" s="18">
        <v>0</v>
      </c>
      <c r="L990" s="18">
        <v>0</v>
      </c>
      <c r="M990" s="18">
        <v>0</v>
      </c>
      <c r="N990" s="133">
        <f t="shared" si="1212"/>
        <v>1</v>
      </c>
      <c r="O990" s="19">
        <f t="shared" si="1213"/>
        <v>8.3333333333333329E-2</v>
      </c>
      <c r="P990" s="8"/>
      <c r="Q990" s="8"/>
      <c r="R990" s="8"/>
      <c r="S990" s="8"/>
      <c r="T990" s="8"/>
      <c r="U990" s="8"/>
      <c r="V990" s="8"/>
      <c r="W990" s="8"/>
      <c r="X990" s="8"/>
      <c r="Y990" s="8"/>
      <c r="Z990" s="8"/>
    </row>
    <row r="991" spans="1:26" s="9" customFormat="1" ht="15.75">
      <c r="A991" s="34" t="s">
        <v>164</v>
      </c>
      <c r="B991" s="18">
        <v>252</v>
      </c>
      <c r="C991" s="18">
        <v>381</v>
      </c>
      <c r="D991" s="18">
        <v>373</v>
      </c>
      <c r="E991" s="18">
        <v>247</v>
      </c>
      <c r="F991" s="18">
        <v>378</v>
      </c>
      <c r="G991" s="18">
        <v>336</v>
      </c>
      <c r="H991" s="18">
        <v>404</v>
      </c>
      <c r="I991" s="18">
        <f>1+149+14+79+48</f>
        <v>291</v>
      </c>
      <c r="J991" s="18">
        <v>221</v>
      </c>
      <c r="K991" s="18">
        <v>369</v>
      </c>
      <c r="L991" s="18">
        <f>155+11+1+25+10+1+52+1</f>
        <v>256</v>
      </c>
      <c r="M991" s="18">
        <v>445</v>
      </c>
      <c r="N991" s="133">
        <f t="shared" si="1212"/>
        <v>3953</v>
      </c>
      <c r="O991" s="19">
        <f t="shared" si="1213"/>
        <v>329.41666666666669</v>
      </c>
      <c r="P991" s="8"/>
      <c r="Q991" s="8"/>
      <c r="R991" s="8"/>
      <c r="S991" s="8"/>
      <c r="T991" s="8"/>
      <c r="U991" s="8"/>
      <c r="V991" s="8"/>
      <c r="W991" s="8"/>
      <c r="X991" s="8"/>
      <c r="Y991" s="8"/>
      <c r="Z991" s="8"/>
    </row>
    <row r="992" spans="1:26" s="9" customFormat="1" ht="15.75">
      <c r="A992" s="34" t="s">
        <v>165</v>
      </c>
      <c r="B992" s="18">
        <v>0</v>
      </c>
      <c r="C992" s="18">
        <v>0</v>
      </c>
      <c r="D992" s="18">
        <v>0</v>
      </c>
      <c r="E992" s="18">
        <v>0</v>
      </c>
      <c r="F992" s="18">
        <v>1</v>
      </c>
      <c r="G992" s="18">
        <v>3</v>
      </c>
      <c r="H992" s="18">
        <v>1</v>
      </c>
      <c r="I992" s="18">
        <v>0</v>
      </c>
      <c r="J992" s="18">
        <v>0</v>
      </c>
      <c r="K992" s="18">
        <v>3</v>
      </c>
      <c r="L992" s="18">
        <v>0</v>
      </c>
      <c r="M992" s="18">
        <v>0</v>
      </c>
      <c r="N992" s="133">
        <f t="shared" si="1212"/>
        <v>8</v>
      </c>
      <c r="O992" s="19">
        <f t="shared" si="1213"/>
        <v>0.66666666666666663</v>
      </c>
      <c r="P992" s="10"/>
      <c r="Q992" s="10"/>
      <c r="R992" s="10"/>
      <c r="S992" s="10"/>
      <c r="T992" s="10"/>
      <c r="U992" s="10"/>
      <c r="V992" s="10"/>
      <c r="W992" s="10"/>
      <c r="X992" s="10"/>
      <c r="Y992" s="10"/>
      <c r="Z992" s="10"/>
    </row>
    <row r="993" spans="1:26" s="9" customFormat="1" ht="15.75">
      <c r="A993" s="34" t="s">
        <v>22</v>
      </c>
      <c r="B993" s="18">
        <v>0</v>
      </c>
      <c r="C993" s="18">
        <v>0</v>
      </c>
      <c r="D993" s="18">
        <v>0</v>
      </c>
      <c r="E993" s="18">
        <v>0</v>
      </c>
      <c r="F993" s="18">
        <v>0</v>
      </c>
      <c r="G993" s="18">
        <v>0</v>
      </c>
      <c r="H993" s="18">
        <v>0</v>
      </c>
      <c r="I993" s="18">
        <v>1</v>
      </c>
      <c r="J993" s="18">
        <v>2</v>
      </c>
      <c r="K993" s="18">
        <v>2</v>
      </c>
      <c r="L993" s="18">
        <v>0</v>
      </c>
      <c r="M993" s="18">
        <v>1</v>
      </c>
      <c r="N993" s="133">
        <f t="shared" si="1212"/>
        <v>6</v>
      </c>
      <c r="O993" s="19">
        <f t="shared" si="1213"/>
        <v>0.5</v>
      </c>
      <c r="P993" s="8"/>
      <c r="Q993" s="8"/>
      <c r="R993" s="8"/>
      <c r="S993" s="8"/>
      <c r="T993" s="8"/>
      <c r="U993" s="8"/>
      <c r="V993" s="8"/>
      <c r="W993" s="8"/>
      <c r="X993" s="8"/>
      <c r="Y993" s="8"/>
      <c r="Z993" s="8"/>
    </row>
    <row r="994" spans="1:26" s="9" customFormat="1" ht="15.75">
      <c r="A994" s="56" t="s">
        <v>21</v>
      </c>
      <c r="B994" s="21">
        <f>IFERROR(SUM(B970:B993),"")</f>
        <v>253</v>
      </c>
      <c r="C994" s="21">
        <f>IFERROR(SUM(C970:C993),"")</f>
        <v>384</v>
      </c>
      <c r="D994" s="21">
        <f t="shared" ref="D994:E994" si="1216">IFERROR(SUM(D970:D993),"")</f>
        <v>377</v>
      </c>
      <c r="E994" s="21">
        <f t="shared" si="1216"/>
        <v>261</v>
      </c>
      <c r="F994" s="21">
        <f t="shared" ref="F994:G994" si="1217">IFERROR(SUM(F970:F993),"")</f>
        <v>385</v>
      </c>
      <c r="G994" s="21">
        <f t="shared" si="1217"/>
        <v>353</v>
      </c>
      <c r="H994" s="21">
        <f t="shared" ref="H994:I994" si="1218">IFERROR(SUM(H970:H993),"")</f>
        <v>414</v>
      </c>
      <c r="I994" s="21">
        <f t="shared" si="1218"/>
        <v>305</v>
      </c>
      <c r="J994" s="21">
        <f t="shared" ref="J994:K994" si="1219">IFERROR(SUM(J970:J993),"")</f>
        <v>226</v>
      </c>
      <c r="K994" s="21">
        <f t="shared" si="1219"/>
        <v>388</v>
      </c>
      <c r="L994" s="21">
        <f t="shared" ref="L994:M994" si="1220">IFERROR(SUM(L970:L993),"")</f>
        <v>262</v>
      </c>
      <c r="M994" s="21">
        <f t="shared" si="1220"/>
        <v>461</v>
      </c>
      <c r="N994" s="128">
        <f>SUM(N970:N993)</f>
        <v>4069</v>
      </c>
      <c r="O994" s="22">
        <f>SUM(O970:O993)</f>
        <v>339.08333333333337</v>
      </c>
      <c r="P994" s="8"/>
      <c r="Q994" s="8"/>
      <c r="R994" s="8"/>
      <c r="S994" s="8"/>
      <c r="T994" s="8"/>
      <c r="U994" s="8"/>
      <c r="V994" s="8"/>
      <c r="W994" s="8"/>
      <c r="X994" s="8"/>
      <c r="Y994" s="8"/>
      <c r="Z994" s="8"/>
    </row>
    <row r="995" spans="1:26" s="9" customFormat="1" ht="15.75">
      <c r="A995" s="56" t="s">
        <v>112</v>
      </c>
      <c r="B995" s="22">
        <f>IF(B994=0,"",B994/B$1676)</f>
        <v>8.1612903225806459</v>
      </c>
      <c r="C995" s="22">
        <f>IF(C994=0,"",C994/C$1676)</f>
        <v>13.714285714285714</v>
      </c>
      <c r="D995" s="22">
        <f t="shared" ref="D995:E995" si="1221">IF(D994=0,"",D994/D$1676)</f>
        <v>12.161290322580646</v>
      </c>
      <c r="E995" s="22">
        <f t="shared" si="1221"/>
        <v>8.6999999999999993</v>
      </c>
      <c r="F995" s="22">
        <f t="shared" ref="F995:G995" si="1222">IF(F994=0,"",F994/F$1676)</f>
        <v>12.419354838709678</v>
      </c>
      <c r="G995" s="22">
        <f t="shared" si="1222"/>
        <v>11.766666666666667</v>
      </c>
      <c r="H995" s="22">
        <f t="shared" ref="H995:I995" si="1223">IF(H994=0,"",H994/H$1676)</f>
        <v>13.35483870967742</v>
      </c>
      <c r="I995" s="22">
        <f t="shared" si="1223"/>
        <v>9.8387096774193541</v>
      </c>
      <c r="J995" s="22">
        <f t="shared" ref="J995:K995" si="1224">IF(J994=0,"",J994/J$1676)</f>
        <v>7.5333333333333332</v>
      </c>
      <c r="K995" s="22">
        <f t="shared" si="1224"/>
        <v>12.516129032258064</v>
      </c>
      <c r="L995" s="22">
        <f t="shared" ref="L995:M995" si="1225">IF(L994=0,"",L994/L$1676)</f>
        <v>8.7333333333333325</v>
      </c>
      <c r="M995" s="22">
        <f t="shared" si="1225"/>
        <v>14.870967741935484</v>
      </c>
      <c r="N995" s="128">
        <f>SUM(B995:M995)</f>
        <v>133.77019969278035</v>
      </c>
      <c r="O995" s="22">
        <f>IF(N995=0,0,AVERAGE(B995:M995))</f>
        <v>11.14751664106503</v>
      </c>
      <c r="P995" s="8"/>
      <c r="Q995" s="8"/>
      <c r="R995" s="8"/>
      <c r="S995" s="8"/>
      <c r="T995" s="8"/>
      <c r="U995" s="8"/>
      <c r="V995" s="8"/>
      <c r="W995" s="8"/>
      <c r="X995" s="8"/>
      <c r="Y995" s="8"/>
      <c r="Z995" s="8"/>
    </row>
    <row r="996" spans="1:26" s="9" customFormat="1">
      <c r="A996" s="23"/>
      <c r="B996" s="24"/>
      <c r="C996" s="24"/>
      <c r="D996" s="24"/>
      <c r="E996" s="25"/>
      <c r="F996" s="25"/>
      <c r="G996" s="25"/>
      <c r="H996" s="25"/>
      <c r="I996" s="25"/>
      <c r="J996" s="25"/>
      <c r="K996" s="25"/>
      <c r="L996" s="25"/>
      <c r="M996" s="25"/>
      <c r="N996" s="134"/>
      <c r="O996" s="13"/>
      <c r="P996" s="8"/>
      <c r="Q996" s="8"/>
      <c r="R996" s="8"/>
      <c r="S996" s="8"/>
      <c r="T996" s="8"/>
      <c r="U996" s="8"/>
      <c r="V996" s="8"/>
      <c r="W996" s="8"/>
      <c r="X996" s="8"/>
      <c r="Y996" s="8"/>
      <c r="Z996" s="8"/>
    </row>
    <row r="997" spans="1:26" s="9" customFormat="1" ht="15.75">
      <c r="A997" s="60" t="s">
        <v>760</v>
      </c>
      <c r="B997" s="15"/>
      <c r="C997" s="15"/>
      <c r="D997" s="15"/>
      <c r="E997" s="15"/>
      <c r="F997" s="15"/>
      <c r="G997" s="15"/>
      <c r="H997" s="15"/>
      <c r="I997" s="15"/>
      <c r="J997" s="15"/>
      <c r="K997" s="15"/>
      <c r="L997" s="15"/>
      <c r="M997" s="15"/>
      <c r="N997" s="132"/>
      <c r="O997" s="16"/>
      <c r="P997" s="8"/>
      <c r="Q997" s="8"/>
      <c r="R997" s="8"/>
      <c r="S997" s="8"/>
      <c r="T997" s="8"/>
      <c r="U997" s="8"/>
      <c r="V997" s="8"/>
      <c r="W997" s="8"/>
      <c r="X997" s="8"/>
      <c r="Y997" s="8"/>
      <c r="Z997" s="8"/>
    </row>
    <row r="998" spans="1:26" s="9" customFormat="1" ht="15.75">
      <c r="A998" s="37" t="s">
        <v>18</v>
      </c>
      <c r="B998" s="18">
        <v>130</v>
      </c>
      <c r="C998" s="18">
        <v>204</v>
      </c>
      <c r="D998" s="18">
        <v>94</v>
      </c>
      <c r="E998" s="18">
        <v>18</v>
      </c>
      <c r="F998" s="18">
        <v>203</v>
      </c>
      <c r="G998" s="18">
        <v>171</v>
      </c>
      <c r="H998" s="18">
        <v>191</v>
      </c>
      <c r="I998" s="18">
        <v>169</v>
      </c>
      <c r="J998" s="18">
        <v>152</v>
      </c>
      <c r="K998" s="18">
        <v>165</v>
      </c>
      <c r="L998" s="18">
        <v>168</v>
      </c>
      <c r="M998" s="18">
        <v>199</v>
      </c>
      <c r="N998" s="133">
        <f>SUM(B998:M998)</f>
        <v>1864</v>
      </c>
      <c r="O998" s="19">
        <f>IF(N998=0,0,AVERAGE(B998:M998))</f>
        <v>155.33333333333334</v>
      </c>
      <c r="P998" s="8"/>
      <c r="Q998" s="8"/>
      <c r="R998" s="8"/>
      <c r="S998" s="8"/>
      <c r="T998" s="8"/>
      <c r="U998" s="8"/>
      <c r="V998" s="8"/>
      <c r="W998" s="8"/>
      <c r="X998" s="8"/>
      <c r="Y998" s="8"/>
      <c r="Z998" s="8"/>
    </row>
    <row r="999" spans="1:26" s="9" customFormat="1" ht="15.75">
      <c r="A999" s="37" t="s">
        <v>19</v>
      </c>
      <c r="B999" s="18">
        <v>55</v>
      </c>
      <c r="C999" s="18">
        <v>54</v>
      </c>
      <c r="D999" s="18">
        <v>105</v>
      </c>
      <c r="E999" s="18">
        <v>111</v>
      </c>
      <c r="F999" s="18">
        <v>61</v>
      </c>
      <c r="G999" s="18">
        <v>76</v>
      </c>
      <c r="H999" s="18">
        <v>111</v>
      </c>
      <c r="I999" s="18">
        <v>88</v>
      </c>
      <c r="J999" s="18">
        <v>49</v>
      </c>
      <c r="K999" s="18">
        <v>72</v>
      </c>
      <c r="L999" s="18">
        <v>40</v>
      </c>
      <c r="M999" s="18">
        <v>75</v>
      </c>
      <c r="N999" s="133">
        <f>SUM(B999:M999)</f>
        <v>897</v>
      </c>
      <c r="O999" s="19">
        <f>IF(N999=0,0,AVERAGE(B999:M999))</f>
        <v>74.75</v>
      </c>
      <c r="P999" s="10"/>
      <c r="Q999" s="10"/>
      <c r="R999" s="10"/>
      <c r="S999" s="10"/>
      <c r="T999" s="10"/>
      <c r="U999" s="10"/>
      <c r="V999" s="10"/>
      <c r="W999" s="10"/>
      <c r="X999" s="10"/>
      <c r="Y999" s="10"/>
      <c r="Z999" s="10"/>
    </row>
    <row r="1000" spans="1:26" s="9" customFormat="1" ht="15.75">
      <c r="A1000" s="37" t="s">
        <v>20</v>
      </c>
      <c r="B1000" s="18">
        <v>68</v>
      </c>
      <c r="C1000" s="18">
        <v>126</v>
      </c>
      <c r="D1000" s="18">
        <v>178</v>
      </c>
      <c r="E1000" s="18">
        <v>132</v>
      </c>
      <c r="F1000" s="18">
        <v>121</v>
      </c>
      <c r="G1000" s="18">
        <v>106</v>
      </c>
      <c r="H1000" s="18">
        <v>112</v>
      </c>
      <c r="I1000" s="18">
        <v>48</v>
      </c>
      <c r="J1000" s="18">
        <v>25</v>
      </c>
      <c r="K1000" s="18">
        <v>151</v>
      </c>
      <c r="L1000" s="18">
        <v>54</v>
      </c>
      <c r="M1000" s="18">
        <v>187</v>
      </c>
      <c r="N1000" s="133">
        <f>SUM(B1000:M1000)</f>
        <v>1308</v>
      </c>
      <c r="O1000" s="19">
        <f>IF(N1000=0,0,AVERAGE(B1000:M1000))</f>
        <v>109</v>
      </c>
      <c r="P1000" s="8"/>
      <c r="Q1000" s="8"/>
      <c r="R1000" s="8"/>
      <c r="S1000" s="8"/>
      <c r="T1000" s="8"/>
      <c r="U1000" s="8"/>
      <c r="V1000" s="8"/>
      <c r="W1000" s="8"/>
      <c r="X1000" s="8"/>
      <c r="Y1000" s="8"/>
      <c r="Z1000" s="8"/>
    </row>
    <row r="1001" spans="1:26" s="9" customFormat="1" ht="15.75">
      <c r="A1001" s="34" t="s">
        <v>119</v>
      </c>
      <c r="B1001" s="18">
        <v>0</v>
      </c>
      <c r="C1001" s="18">
        <v>0</v>
      </c>
      <c r="D1001" s="18">
        <v>0</v>
      </c>
      <c r="E1001" s="18">
        <v>0</v>
      </c>
      <c r="F1001" s="18">
        <v>0</v>
      </c>
      <c r="G1001" s="18">
        <v>0</v>
      </c>
      <c r="H1001" s="18">
        <v>0</v>
      </c>
      <c r="I1001" s="18">
        <v>0</v>
      </c>
      <c r="J1001" s="18">
        <v>0</v>
      </c>
      <c r="K1001" s="18">
        <v>0</v>
      </c>
      <c r="L1001" s="18">
        <v>0</v>
      </c>
      <c r="M1001" s="18">
        <v>0</v>
      </c>
      <c r="N1001" s="133">
        <f>SUM(B1001:M1001)</f>
        <v>0</v>
      </c>
      <c r="O1001" s="19">
        <f>IF(N1001=0,0,AVERAGE(B1001:M1001))</f>
        <v>0</v>
      </c>
      <c r="P1001" s="10"/>
      <c r="Q1001" s="10"/>
      <c r="R1001" s="10"/>
      <c r="S1001" s="10"/>
      <c r="T1001" s="10"/>
      <c r="U1001" s="10"/>
      <c r="V1001" s="10"/>
      <c r="W1001" s="10"/>
      <c r="X1001" s="10"/>
      <c r="Y1001" s="10"/>
      <c r="Z1001" s="10"/>
    </row>
    <row r="1002" spans="1:26" s="9" customFormat="1" ht="15.75">
      <c r="A1002" s="56" t="s">
        <v>21</v>
      </c>
      <c r="B1002" s="21">
        <f t="shared" ref="B1002:C1002" si="1226">SUM(B998:B1001)</f>
        <v>253</v>
      </c>
      <c r="C1002" s="21">
        <f t="shared" si="1226"/>
        <v>384</v>
      </c>
      <c r="D1002" s="21">
        <f t="shared" ref="D1002:E1002" si="1227">SUM(D998:D1001)</f>
        <v>377</v>
      </c>
      <c r="E1002" s="21">
        <f t="shared" si="1227"/>
        <v>261</v>
      </c>
      <c r="F1002" s="21">
        <f t="shared" ref="F1002:G1002" si="1228">SUM(F998:F1001)</f>
        <v>385</v>
      </c>
      <c r="G1002" s="21">
        <f t="shared" si="1228"/>
        <v>353</v>
      </c>
      <c r="H1002" s="21">
        <f t="shared" ref="H1002:I1002" si="1229">SUM(H998:H1001)</f>
        <v>414</v>
      </c>
      <c r="I1002" s="21">
        <f t="shared" si="1229"/>
        <v>305</v>
      </c>
      <c r="J1002" s="21">
        <f t="shared" ref="J1002:K1002" si="1230">SUM(J998:J1001)</f>
        <v>226</v>
      </c>
      <c r="K1002" s="21">
        <f t="shared" si="1230"/>
        <v>388</v>
      </c>
      <c r="L1002" s="21">
        <f t="shared" ref="L1002:M1002" si="1231">SUM(L998:L1001)</f>
        <v>262</v>
      </c>
      <c r="M1002" s="21">
        <f t="shared" si="1231"/>
        <v>461</v>
      </c>
      <c r="N1002" s="128">
        <f>SUM(N998:N1001)</f>
        <v>4069</v>
      </c>
      <c r="O1002" s="22">
        <f>SUM(O998:O1001)</f>
        <v>339.08333333333337</v>
      </c>
      <c r="P1002" s="10"/>
      <c r="Q1002" s="10"/>
      <c r="R1002" s="10"/>
      <c r="S1002" s="10"/>
      <c r="T1002" s="10"/>
      <c r="U1002" s="10"/>
      <c r="V1002" s="10"/>
      <c r="W1002" s="10"/>
      <c r="X1002" s="10"/>
      <c r="Y1002" s="10"/>
      <c r="Z1002" s="10"/>
    </row>
    <row r="1003" spans="1:26" s="9" customFormat="1" ht="15.75">
      <c r="A1003" s="56" t="s">
        <v>112</v>
      </c>
      <c r="B1003" s="22">
        <f t="shared" ref="B1003:G1003" si="1232">IF(B1002=0,"",B1002/B$1676)</f>
        <v>8.1612903225806459</v>
      </c>
      <c r="C1003" s="22">
        <f t="shared" si="1232"/>
        <v>13.714285714285714</v>
      </c>
      <c r="D1003" s="22">
        <f t="shared" si="1232"/>
        <v>12.161290322580646</v>
      </c>
      <c r="E1003" s="22">
        <f t="shared" si="1232"/>
        <v>8.6999999999999993</v>
      </c>
      <c r="F1003" s="22">
        <f t="shared" si="1232"/>
        <v>12.419354838709678</v>
      </c>
      <c r="G1003" s="22">
        <f t="shared" si="1232"/>
        <v>11.766666666666667</v>
      </c>
      <c r="H1003" s="22">
        <f t="shared" ref="H1003:I1003" si="1233">IF(H1002=0,"",H1002/H$1676)</f>
        <v>13.35483870967742</v>
      </c>
      <c r="I1003" s="22">
        <f t="shared" si="1233"/>
        <v>9.8387096774193541</v>
      </c>
      <c r="J1003" s="22">
        <f t="shared" ref="J1003:K1003" si="1234">IF(J1002=0,"",J1002/J$1676)</f>
        <v>7.5333333333333332</v>
      </c>
      <c r="K1003" s="22">
        <f t="shared" si="1234"/>
        <v>12.516129032258064</v>
      </c>
      <c r="L1003" s="22">
        <f t="shared" ref="L1003:M1003" si="1235">IF(L1002=0,"",L1002/L$1676)</f>
        <v>8.7333333333333325</v>
      </c>
      <c r="M1003" s="22">
        <f t="shared" si="1235"/>
        <v>14.870967741935484</v>
      </c>
      <c r="N1003" s="128">
        <f>SUM(B1003:M1003)</f>
        <v>133.77019969278035</v>
      </c>
      <c r="O1003" s="22">
        <f>IF(N1003=0,0,AVERAGE(B1003:M1003))</f>
        <v>11.14751664106503</v>
      </c>
      <c r="P1003" s="10"/>
      <c r="Q1003" s="10"/>
      <c r="R1003" s="10"/>
      <c r="S1003" s="10"/>
      <c r="T1003" s="10"/>
      <c r="U1003" s="10"/>
      <c r="V1003" s="10"/>
      <c r="W1003" s="10"/>
      <c r="X1003" s="10"/>
      <c r="Y1003" s="10"/>
      <c r="Z1003" s="10"/>
    </row>
    <row r="1004" spans="1:26" s="9" customFormat="1" ht="15.75">
      <c r="A1004" s="23"/>
      <c r="B1004" s="24"/>
      <c r="C1004" s="24"/>
      <c r="D1004" s="24"/>
      <c r="E1004" s="25"/>
      <c r="F1004" s="25"/>
      <c r="G1004" s="25"/>
      <c r="H1004" s="25"/>
      <c r="I1004" s="25"/>
      <c r="J1004" s="25"/>
      <c r="K1004" s="25"/>
      <c r="L1004" s="25"/>
      <c r="M1004" s="25"/>
      <c r="N1004" s="134"/>
      <c r="O1004" s="54"/>
      <c r="P1004" s="10"/>
      <c r="Q1004" s="10"/>
      <c r="R1004" s="10"/>
      <c r="S1004" s="10"/>
      <c r="T1004" s="10"/>
      <c r="U1004" s="10"/>
      <c r="V1004" s="10"/>
      <c r="W1004" s="10"/>
      <c r="X1004" s="10"/>
      <c r="Y1004" s="10"/>
      <c r="Z1004" s="10"/>
    </row>
    <row r="1005" spans="1:26" s="9" customFormat="1" ht="15.75">
      <c r="A1005" s="60" t="s">
        <v>761</v>
      </c>
      <c r="B1005" s="15"/>
      <c r="C1005" s="15"/>
      <c r="D1005" s="15"/>
      <c r="E1005" s="15"/>
      <c r="F1005" s="15"/>
      <c r="G1005" s="15"/>
      <c r="H1005" s="15"/>
      <c r="I1005" s="15"/>
      <c r="J1005" s="15"/>
      <c r="K1005" s="15"/>
      <c r="L1005" s="15"/>
      <c r="M1005" s="15"/>
      <c r="N1005" s="132"/>
      <c r="O1005" s="16"/>
      <c r="P1005" s="10"/>
      <c r="Q1005" s="10"/>
      <c r="R1005" s="10"/>
      <c r="S1005" s="10"/>
      <c r="T1005" s="10"/>
      <c r="U1005" s="10"/>
      <c r="V1005" s="10"/>
      <c r="W1005" s="10"/>
      <c r="X1005" s="10"/>
      <c r="Y1005" s="10"/>
      <c r="Z1005" s="10"/>
    </row>
    <row r="1006" spans="1:26" s="9" customFormat="1" ht="15.75">
      <c r="A1006" s="104" t="s">
        <v>383</v>
      </c>
      <c r="B1006" s="18">
        <v>0</v>
      </c>
      <c r="C1006" s="18">
        <v>0</v>
      </c>
      <c r="D1006" s="18">
        <v>0</v>
      </c>
      <c r="E1006" s="18">
        <v>0</v>
      </c>
      <c r="F1006" s="18">
        <v>0</v>
      </c>
      <c r="G1006" s="18">
        <v>0</v>
      </c>
      <c r="H1006" s="18">
        <v>0</v>
      </c>
      <c r="I1006" s="18">
        <v>0</v>
      </c>
      <c r="J1006" s="18">
        <v>0</v>
      </c>
      <c r="K1006" s="18">
        <v>0</v>
      </c>
      <c r="L1006" s="18">
        <v>0</v>
      </c>
      <c r="M1006" s="18">
        <v>0</v>
      </c>
      <c r="N1006" s="133">
        <f t="shared" ref="N1006:N1029" si="1236">SUM(B1006:M1006)</f>
        <v>0</v>
      </c>
      <c r="O1006" s="19">
        <f t="shared" ref="O1006:O1029" si="1237">IF(N1006=0,0,AVERAGE(B1006:M1006))</f>
        <v>0</v>
      </c>
      <c r="P1006" s="10"/>
      <c r="Q1006" s="10"/>
      <c r="R1006" s="10"/>
      <c r="S1006" s="10"/>
      <c r="T1006" s="10"/>
      <c r="U1006" s="10"/>
      <c r="V1006" s="10"/>
      <c r="W1006" s="10"/>
      <c r="X1006" s="10"/>
      <c r="Y1006" s="10"/>
      <c r="Z1006" s="10"/>
    </row>
    <row r="1007" spans="1:26" s="9" customFormat="1" ht="15.75">
      <c r="A1007" s="104" t="s">
        <v>605</v>
      </c>
      <c r="B1007" s="18">
        <v>0</v>
      </c>
      <c r="C1007" s="18">
        <v>0</v>
      </c>
      <c r="D1007" s="18">
        <v>0</v>
      </c>
      <c r="E1007" s="18">
        <v>0</v>
      </c>
      <c r="F1007" s="18">
        <v>0</v>
      </c>
      <c r="G1007" s="18">
        <v>0</v>
      </c>
      <c r="H1007" s="18">
        <v>0</v>
      </c>
      <c r="I1007" s="18">
        <v>0</v>
      </c>
      <c r="J1007" s="18">
        <v>0</v>
      </c>
      <c r="K1007" s="18">
        <v>0</v>
      </c>
      <c r="L1007" s="18">
        <v>1</v>
      </c>
      <c r="M1007" s="18">
        <v>0</v>
      </c>
      <c r="N1007" s="133">
        <f t="shared" ref="N1007" si="1238">SUM(B1007:M1007)</f>
        <v>1</v>
      </c>
      <c r="O1007" s="19">
        <f t="shared" ref="O1007" si="1239">IF(N1007=0,0,AVERAGE(B1007:M1007))</f>
        <v>8.3333333333333329E-2</v>
      </c>
      <c r="P1007" s="10"/>
      <c r="Q1007" s="10"/>
      <c r="R1007" s="10"/>
      <c r="S1007" s="10"/>
      <c r="T1007" s="10"/>
      <c r="U1007" s="10"/>
      <c r="V1007" s="10"/>
      <c r="W1007" s="10"/>
      <c r="X1007" s="10"/>
      <c r="Y1007" s="10"/>
      <c r="Z1007" s="10"/>
    </row>
    <row r="1008" spans="1:26" s="9" customFormat="1" ht="15.75">
      <c r="A1008" s="104" t="s">
        <v>606</v>
      </c>
      <c r="B1008" s="18">
        <v>3</v>
      </c>
      <c r="C1008" s="18">
        <v>3</v>
      </c>
      <c r="D1008" s="18">
        <v>2</v>
      </c>
      <c r="E1008" s="18">
        <v>1</v>
      </c>
      <c r="F1008" s="18">
        <v>2</v>
      </c>
      <c r="G1008" s="18">
        <v>3</v>
      </c>
      <c r="H1008" s="18">
        <v>2</v>
      </c>
      <c r="I1008" s="18">
        <v>2</v>
      </c>
      <c r="J1008" s="18">
        <v>2</v>
      </c>
      <c r="K1008" s="18">
        <v>2</v>
      </c>
      <c r="L1008" s="18">
        <v>2</v>
      </c>
      <c r="M1008" s="18">
        <v>1</v>
      </c>
      <c r="N1008" s="133">
        <f t="shared" si="1236"/>
        <v>25</v>
      </c>
      <c r="O1008" s="19">
        <f t="shared" si="1237"/>
        <v>2.0833333333333335</v>
      </c>
      <c r="P1008" s="10"/>
      <c r="Q1008" s="10"/>
      <c r="R1008" s="10"/>
      <c r="S1008" s="10"/>
      <c r="T1008" s="10"/>
      <c r="U1008" s="10"/>
      <c r="V1008" s="10"/>
      <c r="W1008" s="10"/>
      <c r="X1008" s="10"/>
      <c r="Y1008" s="10"/>
      <c r="Z1008" s="10"/>
    </row>
    <row r="1009" spans="1:26" s="9" customFormat="1" ht="15.75">
      <c r="A1009" s="104" t="s">
        <v>607</v>
      </c>
      <c r="B1009" s="18">
        <v>2</v>
      </c>
      <c r="C1009" s="18">
        <v>4</v>
      </c>
      <c r="D1009" s="18">
        <v>0</v>
      </c>
      <c r="E1009" s="18">
        <v>2</v>
      </c>
      <c r="F1009" s="18">
        <v>1</v>
      </c>
      <c r="G1009" s="18">
        <v>6</v>
      </c>
      <c r="H1009" s="18">
        <v>3</v>
      </c>
      <c r="I1009" s="18">
        <v>6</v>
      </c>
      <c r="J1009" s="18">
        <v>1</v>
      </c>
      <c r="K1009" s="18">
        <v>0</v>
      </c>
      <c r="L1009" s="18">
        <v>2</v>
      </c>
      <c r="M1009" s="18">
        <v>2</v>
      </c>
      <c r="N1009" s="133">
        <f t="shared" si="1236"/>
        <v>29</v>
      </c>
      <c r="O1009" s="19">
        <f t="shared" si="1237"/>
        <v>2.4166666666666665</v>
      </c>
      <c r="P1009" s="10"/>
      <c r="Q1009" s="10"/>
      <c r="R1009" s="10"/>
      <c r="S1009" s="10"/>
      <c r="T1009" s="10"/>
      <c r="U1009" s="10"/>
      <c r="V1009" s="10"/>
      <c r="W1009" s="10"/>
      <c r="X1009" s="10"/>
      <c r="Y1009" s="10"/>
      <c r="Z1009" s="10"/>
    </row>
    <row r="1010" spans="1:26" s="9" customFormat="1" ht="15.75">
      <c r="A1010" s="104" t="s">
        <v>613</v>
      </c>
      <c r="B1010" s="18">
        <v>0</v>
      </c>
      <c r="C1010" s="18">
        <v>0</v>
      </c>
      <c r="D1010" s="18">
        <v>0</v>
      </c>
      <c r="E1010" s="18">
        <v>0</v>
      </c>
      <c r="F1010" s="18">
        <v>0</v>
      </c>
      <c r="G1010" s="18">
        <v>0</v>
      </c>
      <c r="H1010" s="18">
        <v>0</v>
      </c>
      <c r="I1010" s="18">
        <v>0</v>
      </c>
      <c r="J1010" s="18">
        <v>0</v>
      </c>
      <c r="K1010" s="18">
        <v>0</v>
      </c>
      <c r="L1010" s="18">
        <v>0</v>
      </c>
      <c r="M1010" s="18">
        <v>0</v>
      </c>
      <c r="N1010" s="133">
        <f t="shared" ref="N1010:N1020" si="1240">SUM(B1010:M1010)</f>
        <v>0</v>
      </c>
      <c r="O1010" s="19">
        <f t="shared" ref="O1010:O1020" si="1241">IF(N1010=0,0,AVERAGE(B1010:M1010))</f>
        <v>0</v>
      </c>
      <c r="P1010" s="10"/>
      <c r="Q1010" s="10"/>
      <c r="R1010" s="10"/>
      <c r="S1010" s="10"/>
      <c r="T1010" s="10"/>
      <c r="U1010" s="10"/>
      <c r="V1010" s="10"/>
      <c r="W1010" s="10"/>
      <c r="X1010" s="10"/>
      <c r="Y1010" s="10"/>
      <c r="Z1010" s="10"/>
    </row>
    <row r="1011" spans="1:26" s="9" customFormat="1" ht="15.75">
      <c r="A1011" s="104" t="s">
        <v>611</v>
      </c>
      <c r="B1011" s="18">
        <v>2</v>
      </c>
      <c r="C1011" s="18">
        <v>0</v>
      </c>
      <c r="D1011" s="18">
        <v>0</v>
      </c>
      <c r="E1011" s="18">
        <v>3</v>
      </c>
      <c r="F1011" s="18">
        <v>1</v>
      </c>
      <c r="G1011" s="18">
        <v>2</v>
      </c>
      <c r="H1011" s="18">
        <v>0</v>
      </c>
      <c r="I1011" s="18">
        <v>1</v>
      </c>
      <c r="J1011" s="18">
        <v>0</v>
      </c>
      <c r="K1011" s="18">
        <v>2</v>
      </c>
      <c r="L1011" s="18">
        <v>0</v>
      </c>
      <c r="M1011" s="18">
        <v>0</v>
      </c>
      <c r="N1011" s="133">
        <f t="shared" si="1240"/>
        <v>11</v>
      </c>
      <c r="O1011" s="19">
        <f t="shared" si="1241"/>
        <v>0.91666666666666663</v>
      </c>
      <c r="P1011" s="10"/>
      <c r="Q1011" s="10"/>
      <c r="R1011" s="10"/>
      <c r="S1011" s="10"/>
      <c r="T1011" s="10"/>
      <c r="U1011" s="10"/>
      <c r="V1011" s="10"/>
      <c r="W1011" s="10"/>
      <c r="X1011" s="10"/>
      <c r="Y1011" s="10"/>
      <c r="Z1011" s="10"/>
    </row>
    <row r="1012" spans="1:26" s="9" customFormat="1" ht="15.75">
      <c r="A1012" s="34" t="s">
        <v>157</v>
      </c>
      <c r="B1012" s="18">
        <v>4</v>
      </c>
      <c r="C1012" s="18">
        <v>3</v>
      </c>
      <c r="D1012" s="18">
        <v>2</v>
      </c>
      <c r="E1012" s="18">
        <v>1</v>
      </c>
      <c r="F1012" s="18">
        <f>5+4</f>
        <v>9</v>
      </c>
      <c r="G1012" s="18">
        <f>3+3</f>
        <v>6</v>
      </c>
      <c r="H1012" s="18">
        <f>7+5</f>
        <v>12</v>
      </c>
      <c r="I1012" s="18">
        <f>7</f>
        <v>7</v>
      </c>
      <c r="J1012" s="18">
        <f>5+1</f>
        <v>6</v>
      </c>
      <c r="K1012" s="18">
        <f>8+4</f>
        <v>12</v>
      </c>
      <c r="L1012" s="18">
        <v>9</v>
      </c>
      <c r="M1012" s="18">
        <f>6+1</f>
        <v>7</v>
      </c>
      <c r="N1012" s="133">
        <f t="shared" si="1240"/>
        <v>78</v>
      </c>
      <c r="O1012" s="19">
        <f t="shared" si="1241"/>
        <v>6.5</v>
      </c>
      <c r="P1012" s="10"/>
      <c r="Q1012" s="10"/>
      <c r="R1012" s="10"/>
      <c r="S1012" s="10"/>
      <c r="T1012" s="10"/>
      <c r="U1012" s="10"/>
      <c r="V1012" s="10"/>
      <c r="W1012" s="10"/>
      <c r="X1012" s="10"/>
      <c r="Y1012" s="10"/>
      <c r="Z1012" s="10"/>
    </row>
    <row r="1013" spans="1:26" s="9" customFormat="1" ht="15.75">
      <c r="A1013" s="34" t="s">
        <v>597</v>
      </c>
      <c r="B1013" s="18">
        <v>13</v>
      </c>
      <c r="C1013" s="18">
        <v>15</v>
      </c>
      <c r="D1013" s="18">
        <v>7</v>
      </c>
      <c r="E1013" s="18">
        <v>7</v>
      </c>
      <c r="F1013" s="18">
        <v>18</v>
      </c>
      <c r="G1013" s="18">
        <f>15+2</f>
        <v>17</v>
      </c>
      <c r="H1013" s="18">
        <f>14+1</f>
        <v>15</v>
      </c>
      <c r="I1013" s="18">
        <f>14</f>
        <v>14</v>
      </c>
      <c r="J1013" s="18">
        <f>17+1</f>
        <v>18</v>
      </c>
      <c r="K1013" s="18">
        <v>20</v>
      </c>
      <c r="L1013" s="18">
        <f>9+2</f>
        <v>11</v>
      </c>
      <c r="M1013" s="18">
        <f>20+3</f>
        <v>23</v>
      </c>
      <c r="N1013" s="133">
        <f t="shared" si="1240"/>
        <v>178</v>
      </c>
      <c r="O1013" s="19">
        <f t="shared" si="1241"/>
        <v>14.833333333333334</v>
      </c>
      <c r="P1013" s="10"/>
      <c r="Q1013" s="10"/>
      <c r="R1013" s="10"/>
      <c r="S1013" s="10"/>
      <c r="T1013" s="10"/>
      <c r="U1013" s="10"/>
      <c r="V1013" s="10"/>
      <c r="W1013" s="10"/>
      <c r="X1013" s="10"/>
      <c r="Y1013" s="10"/>
      <c r="Z1013" s="10"/>
    </row>
    <row r="1014" spans="1:26" s="9" customFormat="1" ht="15.75">
      <c r="A1014" s="34" t="s">
        <v>379</v>
      </c>
      <c r="B1014" s="18">
        <v>4</v>
      </c>
      <c r="C1014" s="18">
        <v>7</v>
      </c>
      <c r="D1014" s="18">
        <v>2</v>
      </c>
      <c r="E1014" s="18">
        <v>3</v>
      </c>
      <c r="F1014" s="18">
        <v>9</v>
      </c>
      <c r="G1014" s="18">
        <v>7</v>
      </c>
      <c r="H1014" s="18">
        <v>8</v>
      </c>
      <c r="I1014" s="18">
        <f>8</f>
        <v>8</v>
      </c>
      <c r="J1014" s="18">
        <v>14</v>
      </c>
      <c r="K1014" s="18">
        <v>12</v>
      </c>
      <c r="L1014" s="18">
        <v>12</v>
      </c>
      <c r="M1014" s="18">
        <v>19</v>
      </c>
      <c r="N1014" s="133">
        <f t="shared" si="1240"/>
        <v>105</v>
      </c>
      <c r="O1014" s="19">
        <f t="shared" si="1241"/>
        <v>8.75</v>
      </c>
      <c r="P1014" s="10"/>
      <c r="Q1014" s="10"/>
      <c r="R1014" s="10"/>
      <c r="S1014" s="10"/>
      <c r="T1014" s="10"/>
      <c r="U1014" s="10"/>
      <c r="V1014" s="10"/>
      <c r="W1014" s="10"/>
      <c r="X1014" s="10"/>
      <c r="Y1014" s="10"/>
      <c r="Z1014" s="10"/>
    </row>
    <row r="1015" spans="1:26" s="9" customFormat="1" ht="15.75">
      <c r="A1015" s="34" t="s">
        <v>609</v>
      </c>
      <c r="B1015" s="18">
        <v>1</v>
      </c>
      <c r="C1015" s="18">
        <v>0</v>
      </c>
      <c r="D1015" s="18">
        <v>0</v>
      </c>
      <c r="E1015" s="18">
        <v>1</v>
      </c>
      <c r="F1015" s="18">
        <v>3</v>
      </c>
      <c r="G1015" s="18">
        <v>2</v>
      </c>
      <c r="H1015" s="18">
        <v>1</v>
      </c>
      <c r="I1015" s="18">
        <f>2</f>
        <v>2</v>
      </c>
      <c r="J1015" s="18">
        <v>4</v>
      </c>
      <c r="K1015" s="18">
        <v>3</v>
      </c>
      <c r="L1015" s="18">
        <v>1</v>
      </c>
      <c r="M1015" s="18">
        <v>2</v>
      </c>
      <c r="N1015" s="133">
        <f t="shared" si="1240"/>
        <v>20</v>
      </c>
      <c r="O1015" s="19">
        <f t="shared" si="1241"/>
        <v>1.6666666666666667</v>
      </c>
      <c r="P1015" s="10"/>
      <c r="Q1015" s="10"/>
      <c r="R1015" s="10"/>
      <c r="S1015" s="10"/>
      <c r="T1015" s="10"/>
      <c r="U1015" s="10"/>
      <c r="V1015" s="10"/>
      <c r="W1015" s="10"/>
      <c r="X1015" s="10"/>
      <c r="Y1015" s="10"/>
      <c r="Z1015" s="10"/>
    </row>
    <row r="1016" spans="1:26" s="9" customFormat="1" ht="15.75">
      <c r="A1016" s="34" t="s">
        <v>614</v>
      </c>
      <c r="B1016" s="18">
        <v>0</v>
      </c>
      <c r="C1016" s="18">
        <v>0</v>
      </c>
      <c r="D1016" s="18">
        <v>0</v>
      </c>
      <c r="E1016" s="18">
        <v>0</v>
      </c>
      <c r="F1016" s="18">
        <v>0</v>
      </c>
      <c r="G1016" s="18">
        <v>0</v>
      </c>
      <c r="H1016" s="18">
        <v>0</v>
      </c>
      <c r="I1016" s="18">
        <v>0</v>
      </c>
      <c r="J1016" s="18">
        <v>0</v>
      </c>
      <c r="K1016" s="18">
        <v>1</v>
      </c>
      <c r="L1016" s="18">
        <v>0</v>
      </c>
      <c r="M1016" s="18">
        <v>0</v>
      </c>
      <c r="N1016" s="133">
        <f t="shared" si="1240"/>
        <v>1</v>
      </c>
      <c r="O1016" s="19">
        <f t="shared" si="1241"/>
        <v>8.3333333333333329E-2</v>
      </c>
      <c r="P1016" s="10"/>
      <c r="Q1016" s="10"/>
      <c r="R1016" s="10"/>
      <c r="S1016" s="10"/>
      <c r="T1016" s="10"/>
      <c r="U1016" s="10"/>
      <c r="V1016" s="10"/>
      <c r="W1016" s="10"/>
      <c r="X1016" s="10"/>
      <c r="Y1016" s="10"/>
      <c r="Z1016" s="10"/>
    </row>
    <row r="1017" spans="1:26" s="9" customFormat="1" ht="15.75">
      <c r="A1017" s="34" t="s">
        <v>158</v>
      </c>
      <c r="B1017" s="18">
        <v>4</v>
      </c>
      <c r="C1017" s="18">
        <v>1</v>
      </c>
      <c r="D1017" s="18">
        <v>0</v>
      </c>
      <c r="E1017" s="18">
        <v>1</v>
      </c>
      <c r="F1017" s="18">
        <v>3</v>
      </c>
      <c r="G1017" s="18">
        <v>6</v>
      </c>
      <c r="H1017" s="18">
        <v>3</v>
      </c>
      <c r="I1017" s="18">
        <v>0</v>
      </c>
      <c r="J1017" s="18">
        <v>2</v>
      </c>
      <c r="K1017" s="18">
        <v>0</v>
      </c>
      <c r="L1017" s="18">
        <v>3</v>
      </c>
      <c r="M1017" s="18">
        <v>5</v>
      </c>
      <c r="N1017" s="133">
        <f t="shared" si="1240"/>
        <v>28</v>
      </c>
      <c r="O1017" s="19">
        <f t="shared" si="1241"/>
        <v>2.3333333333333335</v>
      </c>
      <c r="P1017" s="10"/>
      <c r="Q1017" s="10"/>
      <c r="R1017" s="10"/>
      <c r="S1017" s="10"/>
      <c r="T1017" s="10"/>
      <c r="U1017" s="10"/>
      <c r="V1017" s="10"/>
      <c r="W1017" s="10"/>
      <c r="X1017" s="10"/>
      <c r="Y1017" s="10"/>
      <c r="Z1017" s="10"/>
    </row>
    <row r="1018" spans="1:26" s="9" customFormat="1" ht="15.75">
      <c r="A1018" s="34" t="s">
        <v>159</v>
      </c>
      <c r="B1018" s="18">
        <v>0</v>
      </c>
      <c r="C1018" s="18">
        <v>1</v>
      </c>
      <c r="D1018" s="18">
        <v>0</v>
      </c>
      <c r="E1018" s="18">
        <v>0</v>
      </c>
      <c r="F1018" s="18">
        <v>0</v>
      </c>
      <c r="G1018" s="18">
        <v>0</v>
      </c>
      <c r="H1018" s="18">
        <v>2</v>
      </c>
      <c r="I1018" s="18">
        <v>0</v>
      </c>
      <c r="J1018" s="18">
        <v>1</v>
      </c>
      <c r="K1018" s="18">
        <v>0</v>
      </c>
      <c r="L1018" s="18">
        <v>0</v>
      </c>
      <c r="M1018" s="18">
        <v>0</v>
      </c>
      <c r="N1018" s="133">
        <f t="shared" si="1240"/>
        <v>4</v>
      </c>
      <c r="O1018" s="19">
        <f t="shared" si="1241"/>
        <v>0.33333333333333331</v>
      </c>
      <c r="P1018" s="10"/>
      <c r="Q1018" s="10"/>
      <c r="R1018" s="10"/>
      <c r="S1018" s="10"/>
      <c r="T1018" s="10"/>
      <c r="U1018" s="10"/>
      <c r="V1018" s="10"/>
      <c r="W1018" s="10"/>
      <c r="X1018" s="10"/>
      <c r="Y1018" s="10"/>
      <c r="Z1018" s="10"/>
    </row>
    <row r="1019" spans="1:26" s="9" customFormat="1" ht="15.75">
      <c r="A1019" s="34" t="s">
        <v>160</v>
      </c>
      <c r="B1019" s="18">
        <v>16</v>
      </c>
      <c r="C1019" s="18">
        <f>12</f>
        <v>12</v>
      </c>
      <c r="D1019" s="18">
        <f>8</f>
        <v>8</v>
      </c>
      <c r="E1019" s="18">
        <v>30</v>
      </c>
      <c r="F1019" s="18">
        <f>44</f>
        <v>44</v>
      </c>
      <c r="G1019" s="18">
        <f>24</f>
        <v>24</v>
      </c>
      <c r="H1019" s="18">
        <f>36</f>
        <v>36</v>
      </c>
      <c r="I1019" s="18">
        <f>26</f>
        <v>26</v>
      </c>
      <c r="J1019" s="18">
        <f>21</f>
        <v>21</v>
      </c>
      <c r="K1019" s="18">
        <v>39</v>
      </c>
      <c r="L1019" s="18">
        <f>25</f>
        <v>25</v>
      </c>
      <c r="M1019" s="18">
        <f>38</f>
        <v>38</v>
      </c>
      <c r="N1019" s="133">
        <f t="shared" si="1240"/>
        <v>319</v>
      </c>
      <c r="O1019" s="19">
        <f t="shared" si="1241"/>
        <v>26.583333333333332</v>
      </c>
      <c r="P1019" s="10"/>
      <c r="Q1019" s="10"/>
      <c r="R1019" s="10"/>
      <c r="S1019" s="10"/>
      <c r="T1019" s="10"/>
      <c r="U1019" s="10"/>
      <c r="V1019" s="10"/>
      <c r="W1019" s="10"/>
      <c r="X1019" s="10"/>
      <c r="Y1019" s="10"/>
      <c r="Z1019" s="10"/>
    </row>
    <row r="1020" spans="1:26" s="9" customFormat="1" ht="15.75">
      <c r="A1020" s="34" t="s">
        <v>287</v>
      </c>
      <c r="B1020" s="18">
        <f>30</f>
        <v>30</v>
      </c>
      <c r="C1020" s="18">
        <f>48</f>
        <v>48</v>
      </c>
      <c r="D1020" s="18">
        <f>48</f>
        <v>48</v>
      </c>
      <c r="E1020" s="18">
        <f>70</f>
        <v>70</v>
      </c>
      <c r="F1020" s="18">
        <f>99</f>
        <v>99</v>
      </c>
      <c r="G1020" s="18">
        <f>94</f>
        <v>94</v>
      </c>
      <c r="H1020" s="18">
        <f>109</f>
        <v>109</v>
      </c>
      <c r="I1020" s="18">
        <f>102</f>
        <v>102</v>
      </c>
      <c r="J1020" s="18">
        <f>131</f>
        <v>131</v>
      </c>
      <c r="K1020" s="18">
        <f>110</f>
        <v>110</v>
      </c>
      <c r="L1020" s="18">
        <f>89</f>
        <v>89</v>
      </c>
      <c r="M1020" s="18">
        <f>98</f>
        <v>98</v>
      </c>
      <c r="N1020" s="133">
        <f t="shared" si="1240"/>
        <v>1028</v>
      </c>
      <c r="O1020" s="19">
        <f t="shared" si="1241"/>
        <v>85.666666666666671</v>
      </c>
      <c r="P1020" s="8"/>
      <c r="Q1020" s="8"/>
      <c r="R1020" s="8"/>
      <c r="S1020" s="8"/>
      <c r="T1020" s="8"/>
      <c r="U1020" s="8"/>
      <c r="V1020" s="8"/>
      <c r="W1020" s="8"/>
      <c r="X1020" s="8"/>
      <c r="Y1020" s="8"/>
      <c r="Z1020" s="8"/>
    </row>
    <row r="1021" spans="1:26" s="9" customFormat="1" ht="15.75">
      <c r="A1021" s="34" t="s">
        <v>610</v>
      </c>
      <c r="B1021" s="18">
        <v>10</v>
      </c>
      <c r="C1021" s="18">
        <f>8</f>
        <v>8</v>
      </c>
      <c r="D1021" s="18">
        <f>3</f>
        <v>3</v>
      </c>
      <c r="E1021" s="18">
        <v>8</v>
      </c>
      <c r="F1021" s="18">
        <v>6</v>
      </c>
      <c r="G1021" s="18">
        <f>6</f>
        <v>6</v>
      </c>
      <c r="H1021" s="18">
        <f>5</f>
        <v>5</v>
      </c>
      <c r="I1021" s="18">
        <v>8</v>
      </c>
      <c r="J1021" s="18">
        <v>13</v>
      </c>
      <c r="K1021" s="18">
        <f>13</f>
        <v>13</v>
      </c>
      <c r="L1021" s="18">
        <v>1</v>
      </c>
      <c r="M1021" s="18">
        <v>6</v>
      </c>
      <c r="N1021" s="133">
        <f t="shared" si="1236"/>
        <v>87</v>
      </c>
      <c r="O1021" s="19">
        <f t="shared" si="1237"/>
        <v>7.25</v>
      </c>
      <c r="P1021" s="8"/>
      <c r="Q1021" s="8"/>
      <c r="R1021" s="8"/>
      <c r="S1021" s="8"/>
      <c r="T1021" s="8"/>
      <c r="U1021" s="8"/>
      <c r="V1021" s="8"/>
      <c r="W1021" s="8"/>
      <c r="X1021" s="8"/>
      <c r="Y1021" s="8"/>
      <c r="Z1021" s="8"/>
    </row>
    <row r="1022" spans="1:26" s="9" customFormat="1" ht="15.75">
      <c r="A1022" s="34" t="s">
        <v>161</v>
      </c>
      <c r="B1022" s="18">
        <v>0</v>
      </c>
      <c r="C1022" s="18">
        <v>4</v>
      </c>
      <c r="D1022" s="18">
        <v>5</v>
      </c>
      <c r="E1022" s="18">
        <f>1+4</f>
        <v>5</v>
      </c>
      <c r="F1022" s="18">
        <v>11</v>
      </c>
      <c r="G1022" s="18">
        <v>4</v>
      </c>
      <c r="H1022" s="18">
        <v>8</v>
      </c>
      <c r="I1022" s="18">
        <f>1+7</f>
        <v>8</v>
      </c>
      <c r="J1022" s="18">
        <v>7</v>
      </c>
      <c r="K1022" s="18">
        <v>14</v>
      </c>
      <c r="L1022" s="18">
        <f>11</f>
        <v>11</v>
      </c>
      <c r="M1022" s="18">
        <f>1+13</f>
        <v>14</v>
      </c>
      <c r="N1022" s="133">
        <f t="shared" si="1236"/>
        <v>91</v>
      </c>
      <c r="O1022" s="19">
        <f t="shared" si="1237"/>
        <v>7.583333333333333</v>
      </c>
      <c r="P1022" s="8"/>
      <c r="Q1022" s="8"/>
      <c r="R1022" s="8"/>
      <c r="S1022" s="8"/>
      <c r="T1022" s="8"/>
      <c r="U1022" s="8"/>
      <c r="V1022" s="8"/>
      <c r="W1022" s="8"/>
      <c r="X1022" s="8"/>
      <c r="Y1022" s="8"/>
      <c r="Z1022" s="8"/>
    </row>
    <row r="1023" spans="1:26" s="9" customFormat="1" ht="15.75">
      <c r="A1023" s="34" t="s">
        <v>608</v>
      </c>
      <c r="B1023" s="18">
        <v>0</v>
      </c>
      <c r="C1023" s="18">
        <v>0</v>
      </c>
      <c r="D1023" s="18">
        <v>0</v>
      </c>
      <c r="E1023" s="18">
        <v>2</v>
      </c>
      <c r="F1023" s="18">
        <v>0</v>
      </c>
      <c r="G1023" s="18">
        <v>0</v>
      </c>
      <c r="H1023" s="18">
        <v>0</v>
      </c>
      <c r="I1023" s="18">
        <v>1</v>
      </c>
      <c r="J1023" s="18">
        <v>1</v>
      </c>
      <c r="K1023" s="18">
        <v>0</v>
      </c>
      <c r="L1023" s="18">
        <v>0</v>
      </c>
      <c r="M1023" s="18">
        <v>0</v>
      </c>
      <c r="N1023" s="133">
        <f t="shared" si="1236"/>
        <v>4</v>
      </c>
      <c r="O1023" s="19">
        <f t="shared" si="1237"/>
        <v>0.33333333333333331</v>
      </c>
      <c r="P1023" s="10"/>
      <c r="Q1023" s="10"/>
      <c r="R1023" s="10"/>
      <c r="S1023" s="10"/>
      <c r="T1023" s="10"/>
      <c r="U1023" s="10"/>
      <c r="V1023" s="10"/>
      <c r="W1023" s="10"/>
      <c r="X1023" s="10"/>
      <c r="Y1023" s="10"/>
      <c r="Z1023" s="10"/>
    </row>
    <row r="1024" spans="1:26" s="9" customFormat="1" ht="15.75">
      <c r="A1024" s="34" t="s">
        <v>162</v>
      </c>
      <c r="B1024" s="18">
        <v>4</v>
      </c>
      <c r="C1024" s="18">
        <f>29</f>
        <v>29</v>
      </c>
      <c r="D1024" s="18">
        <f>10</f>
        <v>10</v>
      </c>
      <c r="E1024" s="18">
        <v>17</v>
      </c>
      <c r="F1024" s="18">
        <f>23</f>
        <v>23</v>
      </c>
      <c r="G1024" s="18">
        <v>34</v>
      </c>
      <c r="H1024" s="18">
        <f>30</f>
        <v>30</v>
      </c>
      <c r="I1024" s="18">
        <v>26</v>
      </c>
      <c r="J1024" s="18">
        <v>23</v>
      </c>
      <c r="K1024" s="18">
        <v>26</v>
      </c>
      <c r="L1024" s="18">
        <f>34</f>
        <v>34</v>
      </c>
      <c r="M1024" s="18">
        <v>15</v>
      </c>
      <c r="N1024" s="133">
        <f t="shared" si="1236"/>
        <v>271</v>
      </c>
      <c r="O1024" s="19">
        <f t="shared" si="1237"/>
        <v>22.583333333333332</v>
      </c>
      <c r="P1024" s="10"/>
      <c r="Q1024" s="10"/>
      <c r="R1024" s="10"/>
      <c r="S1024" s="10"/>
      <c r="T1024" s="10"/>
      <c r="U1024" s="10"/>
      <c r="V1024" s="10"/>
      <c r="W1024" s="10"/>
      <c r="X1024" s="10"/>
      <c r="Y1024" s="10"/>
      <c r="Z1024" s="10"/>
    </row>
    <row r="1025" spans="1:26" s="9" customFormat="1" ht="15.75">
      <c r="A1025" s="34" t="s">
        <v>163</v>
      </c>
      <c r="B1025" s="18">
        <v>2</v>
      </c>
      <c r="C1025" s="18">
        <v>7</v>
      </c>
      <c r="D1025" s="18">
        <v>4</v>
      </c>
      <c r="E1025" s="18">
        <v>1</v>
      </c>
      <c r="F1025" s="18">
        <v>5</v>
      </c>
      <c r="G1025" s="18">
        <v>6</v>
      </c>
      <c r="H1025" s="18">
        <v>5</v>
      </c>
      <c r="I1025" s="18">
        <v>8</v>
      </c>
      <c r="J1025" s="18">
        <v>11</v>
      </c>
      <c r="K1025" s="18">
        <v>8</v>
      </c>
      <c r="L1025" s="18">
        <v>6</v>
      </c>
      <c r="M1025" s="18">
        <v>8</v>
      </c>
      <c r="N1025" s="133">
        <f t="shared" si="1236"/>
        <v>71</v>
      </c>
      <c r="O1025" s="19">
        <f t="shared" si="1237"/>
        <v>5.916666666666667</v>
      </c>
      <c r="P1025" s="57"/>
      <c r="Q1025" s="57"/>
      <c r="R1025" s="57"/>
      <c r="S1025" s="57"/>
      <c r="T1025" s="57"/>
      <c r="U1025" s="57"/>
      <c r="V1025" s="57"/>
      <c r="W1025" s="57"/>
      <c r="X1025" s="57"/>
      <c r="Y1025" s="57"/>
      <c r="Z1025" s="57"/>
    </row>
    <row r="1026" spans="1:26" s="9" customFormat="1" ht="15.75">
      <c r="A1026" s="34" t="s">
        <v>612</v>
      </c>
      <c r="B1026" s="18">
        <v>0</v>
      </c>
      <c r="C1026" s="18">
        <v>0</v>
      </c>
      <c r="D1026" s="18">
        <v>0</v>
      </c>
      <c r="E1026" s="18">
        <v>0</v>
      </c>
      <c r="F1026" s="18">
        <v>0</v>
      </c>
      <c r="G1026" s="18">
        <v>0</v>
      </c>
      <c r="H1026" s="18">
        <v>0</v>
      </c>
      <c r="I1026" s="18">
        <v>1</v>
      </c>
      <c r="J1026" s="18">
        <v>0</v>
      </c>
      <c r="K1026" s="18">
        <v>0</v>
      </c>
      <c r="L1026" s="18">
        <v>0</v>
      </c>
      <c r="M1026" s="18">
        <v>1</v>
      </c>
      <c r="N1026" s="133">
        <f t="shared" si="1236"/>
        <v>2</v>
      </c>
      <c r="O1026" s="19">
        <f t="shared" si="1237"/>
        <v>0.16666666666666666</v>
      </c>
      <c r="P1026" s="10"/>
      <c r="Q1026" s="10"/>
      <c r="R1026" s="10"/>
      <c r="S1026" s="10"/>
      <c r="T1026" s="10"/>
      <c r="U1026" s="10"/>
      <c r="V1026" s="10"/>
      <c r="W1026" s="10"/>
      <c r="X1026" s="10"/>
      <c r="Y1026" s="10"/>
      <c r="Z1026" s="10"/>
    </row>
    <row r="1027" spans="1:26" s="9" customFormat="1" ht="15.75">
      <c r="A1027" s="34" t="s">
        <v>164</v>
      </c>
      <c r="B1027" s="18">
        <f>78+17</f>
        <v>95</v>
      </c>
      <c r="C1027" s="18">
        <f>160+26</f>
        <v>186</v>
      </c>
      <c r="D1027" s="18">
        <f>85+19</f>
        <v>104</v>
      </c>
      <c r="E1027" s="18">
        <f>67+14</f>
        <v>81</v>
      </c>
      <c r="F1027" s="18">
        <f>101+12</f>
        <v>113</v>
      </c>
      <c r="G1027" s="18">
        <f>127+21</f>
        <v>148</v>
      </c>
      <c r="H1027" s="18">
        <f>108+52</f>
        <v>160</v>
      </c>
      <c r="I1027" s="18">
        <f>119+73</f>
        <v>192</v>
      </c>
      <c r="J1027" s="18">
        <f>152+76</f>
        <v>228</v>
      </c>
      <c r="K1027" s="18">
        <f>104+83</f>
        <v>187</v>
      </c>
      <c r="L1027" s="18">
        <f>86+62</f>
        <v>148</v>
      </c>
      <c r="M1027" s="18">
        <f>138+101</f>
        <v>239</v>
      </c>
      <c r="N1027" s="133">
        <f t="shared" si="1236"/>
        <v>1881</v>
      </c>
      <c r="O1027" s="19">
        <f t="shared" si="1237"/>
        <v>156.75</v>
      </c>
      <c r="P1027" s="8"/>
      <c r="Q1027" s="8"/>
      <c r="R1027" s="8"/>
      <c r="S1027" s="8"/>
      <c r="T1027" s="8"/>
      <c r="U1027" s="8"/>
      <c r="V1027" s="8"/>
      <c r="W1027" s="8"/>
      <c r="X1027" s="8"/>
      <c r="Y1027" s="8"/>
      <c r="Z1027" s="8"/>
    </row>
    <row r="1028" spans="1:26" s="9" customFormat="1" ht="15.75">
      <c r="A1028" s="34" t="s">
        <v>165</v>
      </c>
      <c r="B1028" s="18">
        <v>10</v>
      </c>
      <c r="C1028" s="18">
        <v>17</v>
      </c>
      <c r="D1028" s="18">
        <f>5</f>
        <v>5</v>
      </c>
      <c r="E1028" s="18">
        <v>23</v>
      </c>
      <c r="F1028" s="18">
        <v>28</v>
      </c>
      <c r="G1028" s="18">
        <v>34</v>
      </c>
      <c r="H1028" s="18">
        <f>24</f>
        <v>24</v>
      </c>
      <c r="I1028" s="18">
        <v>22</v>
      </c>
      <c r="J1028" s="18">
        <v>31</v>
      </c>
      <c r="K1028" s="18">
        <v>30</v>
      </c>
      <c r="L1028" s="18">
        <f>22</f>
        <v>22</v>
      </c>
      <c r="M1028" s="18">
        <v>22</v>
      </c>
      <c r="N1028" s="133">
        <f t="shared" si="1236"/>
        <v>268</v>
      </c>
      <c r="O1028" s="19">
        <f t="shared" si="1237"/>
        <v>22.333333333333332</v>
      </c>
      <c r="P1028" s="8"/>
      <c r="Q1028" s="8"/>
      <c r="R1028" s="8"/>
      <c r="S1028" s="8"/>
      <c r="T1028" s="8"/>
      <c r="U1028" s="8"/>
      <c r="V1028" s="8"/>
      <c r="W1028" s="8"/>
      <c r="X1028" s="8"/>
      <c r="Y1028" s="8"/>
      <c r="Z1028" s="8"/>
    </row>
    <row r="1029" spans="1:26" s="9" customFormat="1" ht="15.75">
      <c r="A1029" s="34" t="s">
        <v>22</v>
      </c>
      <c r="B1029" s="18">
        <v>0</v>
      </c>
      <c r="C1029" s="18">
        <v>0</v>
      </c>
      <c r="D1029" s="18">
        <v>0</v>
      </c>
      <c r="E1029" s="18">
        <v>2</v>
      </c>
      <c r="F1029" s="18">
        <f>1+1</f>
        <v>2</v>
      </c>
      <c r="G1029" s="18">
        <v>4</v>
      </c>
      <c r="H1029" s="18">
        <v>2</v>
      </c>
      <c r="I1029" s="18">
        <v>3</v>
      </c>
      <c r="J1029" s="18">
        <v>1</v>
      </c>
      <c r="K1029" s="18">
        <v>0</v>
      </c>
      <c r="L1029" s="18">
        <v>0</v>
      </c>
      <c r="M1029" s="18">
        <v>0</v>
      </c>
      <c r="N1029" s="133">
        <f t="shared" si="1236"/>
        <v>14</v>
      </c>
      <c r="O1029" s="19">
        <f t="shared" si="1237"/>
        <v>1.1666666666666667</v>
      </c>
      <c r="P1029" s="8"/>
      <c r="Q1029" s="8"/>
      <c r="R1029" s="8"/>
      <c r="S1029" s="8"/>
      <c r="T1029" s="8"/>
      <c r="U1029" s="8"/>
      <c r="V1029" s="8"/>
      <c r="W1029" s="8"/>
      <c r="X1029" s="8"/>
      <c r="Y1029" s="8"/>
      <c r="Z1029" s="8"/>
    </row>
    <row r="1030" spans="1:26" s="9" customFormat="1" ht="15.75">
      <c r="A1030" s="56" t="s">
        <v>21</v>
      </c>
      <c r="B1030" s="21">
        <f t="shared" ref="B1030:C1030" si="1242">SUM(B1006:B1029)</f>
        <v>200</v>
      </c>
      <c r="C1030" s="21">
        <f t="shared" si="1242"/>
        <v>345</v>
      </c>
      <c r="D1030" s="21">
        <f t="shared" ref="D1030" si="1243">SUM(D1006:D1029)</f>
        <v>200</v>
      </c>
      <c r="E1030" s="21">
        <f t="shared" ref="E1030:J1030" si="1244">SUM(E1006:E1029)</f>
        <v>258</v>
      </c>
      <c r="F1030" s="21">
        <f t="shared" si="1244"/>
        <v>377</v>
      </c>
      <c r="G1030" s="21">
        <f t="shared" si="1244"/>
        <v>403</v>
      </c>
      <c r="H1030" s="21">
        <f t="shared" si="1244"/>
        <v>425</v>
      </c>
      <c r="I1030" s="21">
        <f t="shared" si="1244"/>
        <v>437</v>
      </c>
      <c r="J1030" s="21">
        <f t="shared" si="1244"/>
        <v>515</v>
      </c>
      <c r="K1030" s="21">
        <f t="shared" ref="K1030:L1030" si="1245">SUM(K1006:K1029)</f>
        <v>479</v>
      </c>
      <c r="L1030" s="21">
        <f t="shared" si="1245"/>
        <v>377</v>
      </c>
      <c r="M1030" s="21">
        <f t="shared" ref="M1030" si="1246">SUM(M1006:M1029)</f>
        <v>500</v>
      </c>
      <c r="N1030" s="128">
        <f>SUM(N1006:N1029)</f>
        <v>4516</v>
      </c>
      <c r="O1030" s="22">
        <f>SUM(O1006:O1029)</f>
        <v>376.33333333333337</v>
      </c>
      <c r="P1030" s="8"/>
      <c r="Q1030" s="8"/>
      <c r="R1030" s="8"/>
      <c r="S1030" s="8"/>
      <c r="T1030" s="8"/>
      <c r="U1030" s="8"/>
      <c r="V1030" s="8"/>
      <c r="W1030" s="8"/>
      <c r="X1030" s="8"/>
      <c r="Y1030" s="8"/>
      <c r="Z1030" s="8"/>
    </row>
    <row r="1031" spans="1:26" s="9" customFormat="1" ht="15.75">
      <c r="A1031" s="56" t="s">
        <v>112</v>
      </c>
      <c r="B1031" s="22">
        <f t="shared" ref="B1031:G1031" si="1247">IF(B1030=0,"",B1030/B$1676)</f>
        <v>6.4516129032258061</v>
      </c>
      <c r="C1031" s="22">
        <f t="shared" si="1247"/>
        <v>12.321428571428571</v>
      </c>
      <c r="D1031" s="22">
        <f t="shared" si="1247"/>
        <v>6.4516129032258061</v>
      </c>
      <c r="E1031" s="22">
        <f t="shared" si="1247"/>
        <v>8.6</v>
      </c>
      <c r="F1031" s="22">
        <f t="shared" si="1247"/>
        <v>12.161290322580646</v>
      </c>
      <c r="G1031" s="22">
        <f t="shared" si="1247"/>
        <v>13.433333333333334</v>
      </c>
      <c r="H1031" s="22">
        <f t="shared" ref="H1031:J1031" si="1248">IF(H1030=0,"",H1030/H$1676)</f>
        <v>13.709677419354838</v>
      </c>
      <c r="I1031" s="22">
        <f t="shared" si="1248"/>
        <v>14.096774193548388</v>
      </c>
      <c r="J1031" s="22">
        <f t="shared" si="1248"/>
        <v>17.166666666666668</v>
      </c>
      <c r="K1031" s="22">
        <f t="shared" ref="K1031:L1031" si="1249">IF(K1030=0,"",K1030/K$1676)</f>
        <v>15.451612903225806</v>
      </c>
      <c r="L1031" s="22">
        <f t="shared" si="1249"/>
        <v>12.566666666666666</v>
      </c>
      <c r="M1031" s="22">
        <f t="shared" ref="M1031" si="1250">IF(M1030=0,"",M1030/M$1676)</f>
        <v>16.129032258064516</v>
      </c>
      <c r="N1031" s="128">
        <f>SUM(B1031:M1031)</f>
        <v>148.53970814132106</v>
      </c>
      <c r="O1031" s="22">
        <f>IF(N1031=0,0,AVERAGE(B1031:M1031))</f>
        <v>12.378309011776755</v>
      </c>
      <c r="P1031" s="8"/>
      <c r="Q1031" s="8"/>
      <c r="R1031" s="8"/>
      <c r="S1031" s="8"/>
      <c r="T1031" s="8"/>
      <c r="U1031" s="8"/>
      <c r="V1031" s="8"/>
      <c r="W1031" s="8"/>
      <c r="X1031" s="8"/>
      <c r="Y1031" s="8"/>
      <c r="Z1031" s="8"/>
    </row>
    <row r="1032" spans="1:26" s="9" customFormat="1">
      <c r="A1032" s="23"/>
      <c r="B1032" s="24"/>
      <c r="C1032" s="24"/>
      <c r="D1032" s="24"/>
      <c r="E1032" s="25"/>
      <c r="F1032" s="25"/>
      <c r="G1032" s="25"/>
      <c r="H1032" s="25"/>
      <c r="I1032" s="25"/>
      <c r="J1032" s="25"/>
      <c r="K1032" s="25"/>
      <c r="L1032" s="25"/>
      <c r="M1032" s="25"/>
      <c r="N1032" s="134"/>
      <c r="O1032" s="13"/>
      <c r="P1032" s="8"/>
      <c r="Q1032" s="8"/>
      <c r="R1032" s="8"/>
      <c r="S1032" s="8"/>
      <c r="T1032" s="8"/>
      <c r="U1032" s="8"/>
      <c r="V1032" s="8"/>
      <c r="W1032" s="8"/>
      <c r="X1032" s="8"/>
      <c r="Y1032" s="8"/>
      <c r="Z1032" s="8"/>
    </row>
    <row r="1033" spans="1:26" s="9" customFormat="1" ht="15.75">
      <c r="A1033" s="60" t="s">
        <v>762</v>
      </c>
      <c r="B1033" s="15"/>
      <c r="C1033" s="15"/>
      <c r="D1033" s="15"/>
      <c r="E1033" s="15"/>
      <c r="F1033" s="15"/>
      <c r="G1033" s="15"/>
      <c r="H1033" s="15"/>
      <c r="I1033" s="15"/>
      <c r="J1033" s="15"/>
      <c r="K1033" s="15"/>
      <c r="L1033" s="15"/>
      <c r="M1033" s="15"/>
      <c r="N1033" s="132"/>
      <c r="O1033" s="16"/>
      <c r="P1033" s="8"/>
      <c r="Q1033" s="8"/>
      <c r="R1033" s="8"/>
      <c r="S1033" s="8"/>
      <c r="T1033" s="8"/>
      <c r="U1033" s="8"/>
      <c r="V1033" s="8"/>
      <c r="W1033" s="8"/>
      <c r="X1033" s="8"/>
      <c r="Y1033" s="8"/>
      <c r="Z1033" s="8"/>
    </row>
    <row r="1034" spans="1:26" s="9" customFormat="1" ht="15.75">
      <c r="A1034" s="34" t="s">
        <v>166</v>
      </c>
      <c r="B1034" s="18">
        <f t="shared" ref="B1034:C1034" si="1251">B1030</f>
        <v>200</v>
      </c>
      <c r="C1034" s="18">
        <f t="shared" si="1251"/>
        <v>345</v>
      </c>
      <c r="D1034" s="18">
        <f t="shared" ref="D1034:E1034" si="1252">D1030</f>
        <v>200</v>
      </c>
      <c r="E1034" s="18">
        <f t="shared" si="1252"/>
        <v>258</v>
      </c>
      <c r="F1034" s="18">
        <f t="shared" ref="F1034:G1034" si="1253">F1030</f>
        <v>377</v>
      </c>
      <c r="G1034" s="18">
        <f t="shared" si="1253"/>
        <v>403</v>
      </c>
      <c r="H1034" s="18">
        <f t="shared" ref="H1034:I1034" si="1254">H1030</f>
        <v>425</v>
      </c>
      <c r="I1034" s="18">
        <f t="shared" si="1254"/>
        <v>437</v>
      </c>
      <c r="J1034" s="18">
        <f t="shared" ref="J1034:K1034" si="1255">J1030</f>
        <v>515</v>
      </c>
      <c r="K1034" s="18">
        <f t="shared" si="1255"/>
        <v>479</v>
      </c>
      <c r="L1034" s="18">
        <f t="shared" ref="L1034:M1034" si="1256">L1030</f>
        <v>377</v>
      </c>
      <c r="M1034" s="18">
        <f t="shared" si="1256"/>
        <v>500</v>
      </c>
      <c r="N1034" s="133">
        <f>N1030</f>
        <v>4516</v>
      </c>
      <c r="O1034" s="19">
        <f>O1030</f>
        <v>376.33333333333337</v>
      </c>
      <c r="P1034" s="8"/>
      <c r="Q1034" s="8"/>
      <c r="R1034" s="8"/>
      <c r="S1034" s="8"/>
      <c r="T1034" s="8"/>
      <c r="U1034" s="8"/>
      <c r="V1034" s="8"/>
      <c r="W1034" s="8"/>
      <c r="X1034" s="8"/>
      <c r="Y1034" s="8"/>
      <c r="Z1034" s="8"/>
    </row>
    <row r="1035" spans="1:26" s="9" customFormat="1" ht="15.75">
      <c r="A1035" s="56" t="s">
        <v>21</v>
      </c>
      <c r="B1035" s="21">
        <f t="shared" ref="B1035:C1035" si="1257">IF(SUM(B1034)=0,"",SUM(B1034))</f>
        <v>200</v>
      </c>
      <c r="C1035" s="21">
        <f t="shared" si="1257"/>
        <v>345</v>
      </c>
      <c r="D1035" s="21">
        <f t="shared" ref="D1035:E1035" si="1258">IF(SUM(D1034)=0,"",SUM(D1034))</f>
        <v>200</v>
      </c>
      <c r="E1035" s="21">
        <f t="shared" si="1258"/>
        <v>258</v>
      </c>
      <c r="F1035" s="21">
        <f t="shared" ref="F1035:G1035" si="1259">IF(SUM(F1034)=0,"",SUM(F1034))</f>
        <v>377</v>
      </c>
      <c r="G1035" s="21">
        <f t="shared" si="1259"/>
        <v>403</v>
      </c>
      <c r="H1035" s="21">
        <f t="shared" ref="H1035:I1035" si="1260">IF(SUM(H1034)=0,"",SUM(H1034))</f>
        <v>425</v>
      </c>
      <c r="I1035" s="21">
        <f t="shared" si="1260"/>
        <v>437</v>
      </c>
      <c r="J1035" s="21">
        <f t="shared" ref="J1035:K1035" si="1261">IF(SUM(J1034)=0,"",SUM(J1034))</f>
        <v>515</v>
      </c>
      <c r="K1035" s="21">
        <f t="shared" si="1261"/>
        <v>479</v>
      </c>
      <c r="L1035" s="21">
        <f t="shared" ref="L1035:M1035" si="1262">IF(SUM(L1034)=0,"",SUM(L1034))</f>
        <v>377</v>
      </c>
      <c r="M1035" s="21">
        <f t="shared" si="1262"/>
        <v>500</v>
      </c>
      <c r="N1035" s="128">
        <f>SUM(B1035:M1035)</f>
        <v>4516</v>
      </c>
      <c r="O1035" s="22">
        <f>IF(N1035=0,0,AVERAGE(B1035:M1035))</f>
        <v>376.33333333333331</v>
      </c>
      <c r="P1035" s="8"/>
      <c r="Q1035" s="8"/>
      <c r="R1035" s="8"/>
      <c r="S1035" s="8"/>
      <c r="T1035" s="8"/>
      <c r="U1035" s="8"/>
      <c r="V1035" s="8"/>
      <c r="W1035" s="8"/>
      <c r="X1035" s="8"/>
      <c r="Y1035" s="8"/>
      <c r="Z1035" s="8"/>
    </row>
    <row r="1036" spans="1:26" s="9" customFormat="1" ht="15.75">
      <c r="A1036" s="56" t="s">
        <v>112</v>
      </c>
      <c r="B1036" s="22">
        <f t="shared" ref="B1036:G1036" si="1263">IF(B1035=0,"",B1035/B$1676)</f>
        <v>6.4516129032258061</v>
      </c>
      <c r="C1036" s="22">
        <f t="shared" si="1263"/>
        <v>12.321428571428571</v>
      </c>
      <c r="D1036" s="22">
        <f t="shared" si="1263"/>
        <v>6.4516129032258061</v>
      </c>
      <c r="E1036" s="22">
        <f t="shared" si="1263"/>
        <v>8.6</v>
      </c>
      <c r="F1036" s="22">
        <f t="shared" si="1263"/>
        <v>12.161290322580646</v>
      </c>
      <c r="G1036" s="22">
        <f t="shared" si="1263"/>
        <v>13.433333333333334</v>
      </c>
      <c r="H1036" s="22">
        <f t="shared" ref="H1036:I1036" si="1264">IF(H1035=0,"",H1035/H$1676)</f>
        <v>13.709677419354838</v>
      </c>
      <c r="I1036" s="22">
        <f t="shared" si="1264"/>
        <v>14.096774193548388</v>
      </c>
      <c r="J1036" s="22">
        <f t="shared" ref="J1036:K1036" si="1265">IF(J1035=0,"",J1035/J$1676)</f>
        <v>17.166666666666668</v>
      </c>
      <c r="K1036" s="22">
        <f t="shared" si="1265"/>
        <v>15.451612903225806</v>
      </c>
      <c r="L1036" s="22">
        <f t="shared" ref="L1036:M1036" si="1266">IF(L1035=0,"",L1035/L$1676)</f>
        <v>12.566666666666666</v>
      </c>
      <c r="M1036" s="22">
        <f t="shared" si="1266"/>
        <v>16.129032258064516</v>
      </c>
      <c r="N1036" s="128">
        <f>SUM(B1036:M1036)</f>
        <v>148.53970814132106</v>
      </c>
      <c r="O1036" s="22">
        <f>IF(N1036=0,0,AVERAGE(B1036:M1036))</f>
        <v>12.378309011776755</v>
      </c>
      <c r="P1036" s="10"/>
      <c r="Q1036" s="10"/>
      <c r="R1036" s="10"/>
      <c r="S1036" s="10"/>
      <c r="T1036" s="10"/>
      <c r="U1036" s="10"/>
      <c r="V1036" s="10"/>
      <c r="W1036" s="10"/>
      <c r="X1036" s="10"/>
      <c r="Y1036" s="10"/>
      <c r="Z1036" s="10"/>
    </row>
    <row r="1037" spans="1:26" s="9" customFormat="1" ht="15.75">
      <c r="A1037" s="23"/>
      <c r="B1037" s="24"/>
      <c r="C1037" s="24"/>
      <c r="D1037" s="24"/>
      <c r="E1037" s="25"/>
      <c r="F1037" s="25"/>
      <c r="G1037" s="25"/>
      <c r="H1037" s="25"/>
      <c r="I1037" s="25"/>
      <c r="J1037" s="25"/>
      <c r="K1037" s="25"/>
      <c r="L1037" s="25"/>
      <c r="M1037" s="25"/>
      <c r="N1037" s="134"/>
      <c r="O1037" s="54"/>
      <c r="P1037" s="8"/>
      <c r="Q1037" s="8"/>
      <c r="R1037" s="8"/>
      <c r="S1037" s="8"/>
      <c r="T1037" s="8"/>
      <c r="U1037" s="8"/>
      <c r="V1037" s="8"/>
      <c r="W1037" s="8"/>
      <c r="X1037" s="8"/>
      <c r="Y1037" s="8"/>
      <c r="Z1037" s="8"/>
    </row>
    <row r="1038" spans="1:26" s="9" customFormat="1" ht="15.75">
      <c r="A1038" s="85" t="s">
        <v>153</v>
      </c>
      <c r="B1038" s="86">
        <f t="shared" ref="B1038:G1038" si="1267">B1002</f>
        <v>253</v>
      </c>
      <c r="C1038" s="86">
        <f t="shared" si="1267"/>
        <v>384</v>
      </c>
      <c r="D1038" s="86">
        <f t="shared" si="1267"/>
        <v>377</v>
      </c>
      <c r="E1038" s="86">
        <f t="shared" si="1267"/>
        <v>261</v>
      </c>
      <c r="F1038" s="86">
        <f t="shared" si="1267"/>
        <v>385</v>
      </c>
      <c r="G1038" s="86">
        <f t="shared" si="1267"/>
        <v>353</v>
      </c>
      <c r="H1038" s="86">
        <f t="shared" ref="H1038:I1038" si="1268">H1002</f>
        <v>414</v>
      </c>
      <c r="I1038" s="86">
        <f t="shared" si="1268"/>
        <v>305</v>
      </c>
      <c r="J1038" s="86">
        <f t="shared" ref="J1038:K1038" si="1269">J1002</f>
        <v>226</v>
      </c>
      <c r="K1038" s="86">
        <f t="shared" si="1269"/>
        <v>388</v>
      </c>
      <c r="L1038" s="86">
        <f t="shared" ref="L1038:M1038" si="1270">L1002</f>
        <v>262</v>
      </c>
      <c r="M1038" s="86">
        <f t="shared" si="1270"/>
        <v>461</v>
      </c>
      <c r="N1038" s="133">
        <f>N1002</f>
        <v>4069</v>
      </c>
      <c r="O1038" s="19">
        <f>O1002</f>
        <v>339.08333333333337</v>
      </c>
      <c r="P1038" s="10"/>
      <c r="Q1038" s="10"/>
      <c r="R1038" s="10"/>
      <c r="S1038" s="10"/>
      <c r="T1038" s="10"/>
      <c r="U1038" s="10"/>
      <c r="V1038" s="10"/>
      <c r="W1038" s="10"/>
      <c r="X1038" s="10"/>
      <c r="Y1038" s="10"/>
      <c r="Z1038" s="10"/>
    </row>
    <row r="1039" spans="1:26" s="9" customFormat="1" ht="15.75">
      <c r="A1039" s="85" t="s">
        <v>154</v>
      </c>
      <c r="B1039" s="86">
        <f t="shared" ref="B1039:G1039" si="1271">B1030</f>
        <v>200</v>
      </c>
      <c r="C1039" s="86">
        <f t="shared" si="1271"/>
        <v>345</v>
      </c>
      <c r="D1039" s="86">
        <f t="shared" si="1271"/>
        <v>200</v>
      </c>
      <c r="E1039" s="86">
        <f t="shared" si="1271"/>
        <v>258</v>
      </c>
      <c r="F1039" s="86">
        <f t="shared" si="1271"/>
        <v>377</v>
      </c>
      <c r="G1039" s="86">
        <f t="shared" si="1271"/>
        <v>403</v>
      </c>
      <c r="H1039" s="86">
        <f t="shared" ref="H1039:I1039" si="1272">H1030</f>
        <v>425</v>
      </c>
      <c r="I1039" s="86">
        <f t="shared" si="1272"/>
        <v>437</v>
      </c>
      <c r="J1039" s="86">
        <f t="shared" ref="J1039:K1039" si="1273">J1030</f>
        <v>515</v>
      </c>
      <c r="K1039" s="86">
        <f t="shared" si="1273"/>
        <v>479</v>
      </c>
      <c r="L1039" s="86">
        <f t="shared" ref="L1039:M1039" si="1274">L1030</f>
        <v>377</v>
      </c>
      <c r="M1039" s="86">
        <f t="shared" si="1274"/>
        <v>500</v>
      </c>
      <c r="N1039" s="133">
        <f>N1030</f>
        <v>4516</v>
      </c>
      <c r="O1039" s="19">
        <f>O1030</f>
        <v>376.33333333333337</v>
      </c>
      <c r="P1039" s="10"/>
      <c r="Q1039" s="10"/>
      <c r="R1039" s="10"/>
      <c r="S1039" s="10"/>
      <c r="T1039" s="10"/>
      <c r="U1039" s="10"/>
      <c r="V1039" s="10"/>
      <c r="W1039" s="10"/>
      <c r="X1039" s="10"/>
      <c r="Y1039" s="10"/>
      <c r="Z1039" s="10"/>
    </row>
    <row r="1040" spans="1:26" s="9" customFormat="1" ht="15.75">
      <c r="A1040" s="342" t="s">
        <v>155</v>
      </c>
      <c r="B1040" s="333">
        <f t="shared" ref="B1040:C1040" si="1275">SUM(B1038:B1039)</f>
        <v>453</v>
      </c>
      <c r="C1040" s="333">
        <f t="shared" si="1275"/>
        <v>729</v>
      </c>
      <c r="D1040" s="333">
        <f t="shared" ref="D1040:E1040" si="1276">SUM(D1038:D1039)</f>
        <v>577</v>
      </c>
      <c r="E1040" s="333">
        <f t="shared" si="1276"/>
        <v>519</v>
      </c>
      <c r="F1040" s="333">
        <f t="shared" ref="F1040:G1040" si="1277">SUM(F1038:F1039)</f>
        <v>762</v>
      </c>
      <c r="G1040" s="333">
        <f t="shared" si="1277"/>
        <v>756</v>
      </c>
      <c r="H1040" s="333">
        <f t="shared" ref="H1040:I1040" si="1278">SUM(H1038:H1039)</f>
        <v>839</v>
      </c>
      <c r="I1040" s="333">
        <f t="shared" si="1278"/>
        <v>742</v>
      </c>
      <c r="J1040" s="333">
        <f t="shared" ref="J1040:K1040" si="1279">SUM(J1038:J1039)</f>
        <v>741</v>
      </c>
      <c r="K1040" s="333">
        <f t="shared" si="1279"/>
        <v>867</v>
      </c>
      <c r="L1040" s="333">
        <f t="shared" ref="L1040:M1040" si="1280">SUM(L1038:L1039)</f>
        <v>639</v>
      </c>
      <c r="M1040" s="333">
        <f t="shared" si="1280"/>
        <v>961</v>
      </c>
      <c r="N1040" s="334">
        <f>SUM(N1038:N1039)</f>
        <v>8585</v>
      </c>
      <c r="O1040" s="335">
        <f>SUM(O1038:O1039)</f>
        <v>715.41666666666674</v>
      </c>
      <c r="P1040" s="8"/>
      <c r="Q1040" s="8"/>
      <c r="R1040" s="8"/>
      <c r="S1040" s="8"/>
      <c r="T1040" s="8"/>
      <c r="U1040" s="8"/>
      <c r="V1040" s="8"/>
      <c r="W1040" s="8"/>
      <c r="X1040" s="8"/>
      <c r="Y1040" s="8"/>
      <c r="Z1040" s="8"/>
    </row>
    <row r="1041" spans="1:26" s="9" customFormat="1" ht="15.75">
      <c r="A1041" s="82"/>
      <c r="B1041" s="83"/>
      <c r="C1041" s="83"/>
      <c r="D1041" s="83"/>
      <c r="E1041" s="83"/>
      <c r="F1041" s="83"/>
      <c r="G1041" s="83"/>
      <c r="H1041" s="83"/>
      <c r="I1041" s="83"/>
      <c r="J1041" s="83"/>
      <c r="K1041" s="83"/>
      <c r="L1041" s="83"/>
      <c r="M1041" s="83"/>
      <c r="N1041" s="148"/>
      <c r="O1041" s="84"/>
      <c r="P1041" s="8"/>
      <c r="Q1041" s="8"/>
      <c r="R1041" s="8"/>
      <c r="S1041" s="8"/>
      <c r="T1041" s="8"/>
      <c r="U1041" s="8"/>
      <c r="V1041" s="8"/>
      <c r="W1041" s="8"/>
      <c r="X1041" s="8"/>
      <c r="Y1041" s="8"/>
      <c r="Z1041" s="8"/>
    </row>
    <row r="1042" spans="1:26" s="9" customFormat="1" ht="15.75">
      <c r="A1042" s="361" t="s">
        <v>763</v>
      </c>
      <c r="B1042" s="353"/>
      <c r="C1042" s="353"/>
      <c r="D1042" s="353"/>
      <c r="E1042" s="353"/>
      <c r="F1042" s="353"/>
      <c r="G1042" s="353"/>
      <c r="H1042" s="353"/>
      <c r="I1042" s="353"/>
      <c r="J1042" s="353"/>
      <c r="K1042" s="353"/>
      <c r="L1042" s="353"/>
      <c r="M1042" s="353"/>
      <c r="N1042" s="354"/>
      <c r="O1042" s="355"/>
      <c r="P1042" s="8"/>
      <c r="Q1042" s="8"/>
      <c r="R1042" s="8"/>
      <c r="S1042" s="8"/>
      <c r="T1042" s="8"/>
      <c r="U1042" s="8"/>
      <c r="V1042" s="8"/>
      <c r="W1042" s="8"/>
      <c r="X1042" s="8"/>
      <c r="Y1042" s="8"/>
      <c r="Z1042" s="8"/>
    </row>
    <row r="1043" spans="1:26" s="9" customFormat="1" ht="15.75">
      <c r="A1043" s="362" t="s">
        <v>764</v>
      </c>
      <c r="B1043" s="363"/>
      <c r="C1043" s="363"/>
      <c r="D1043" s="363"/>
      <c r="E1043" s="363"/>
      <c r="F1043" s="363"/>
      <c r="G1043" s="363"/>
      <c r="H1043" s="363"/>
      <c r="I1043" s="363"/>
      <c r="J1043" s="363"/>
      <c r="K1043" s="363"/>
      <c r="L1043" s="363"/>
      <c r="M1043" s="363"/>
      <c r="N1043" s="364"/>
      <c r="O1043" s="365"/>
      <c r="P1043" s="8"/>
      <c r="Q1043" s="8"/>
      <c r="R1043" s="8"/>
      <c r="S1043" s="8"/>
      <c r="T1043" s="8"/>
      <c r="U1043" s="8"/>
      <c r="V1043" s="8"/>
      <c r="W1043" s="8"/>
      <c r="X1043" s="8"/>
      <c r="Y1043" s="8"/>
      <c r="Z1043" s="8"/>
    </row>
    <row r="1044" spans="1:26" s="9" customFormat="1" ht="15.75">
      <c r="A1044" s="324" t="s">
        <v>594</v>
      </c>
      <c r="B1044" s="325">
        <f t="shared" ref="B1044:C1054" si="1281">B1059+B1081</f>
        <v>1</v>
      </c>
      <c r="C1044" s="325">
        <f t="shared" si="1281"/>
        <v>3</v>
      </c>
      <c r="D1044" s="325">
        <f t="shared" ref="D1044:E1044" si="1282">D1059+D1081</f>
        <v>3</v>
      </c>
      <c r="E1044" s="325">
        <f t="shared" si="1282"/>
        <v>4</v>
      </c>
      <c r="F1044" s="325">
        <f t="shared" ref="F1044:G1044" si="1283">F1059+F1081</f>
        <v>0</v>
      </c>
      <c r="G1044" s="325">
        <f t="shared" si="1283"/>
        <v>2</v>
      </c>
      <c r="H1044" s="325">
        <f t="shared" ref="H1044:I1044" si="1284">H1059+H1081</f>
        <v>2</v>
      </c>
      <c r="I1044" s="325">
        <f t="shared" si="1284"/>
        <v>3</v>
      </c>
      <c r="J1044" s="325">
        <f t="shared" ref="J1044:K1044" si="1285">J1059+J1081</f>
        <v>3</v>
      </c>
      <c r="K1044" s="325">
        <f t="shared" si="1285"/>
        <v>1</v>
      </c>
      <c r="L1044" s="325">
        <f t="shared" ref="L1044:M1044" si="1286">L1059+L1081</f>
        <v>2</v>
      </c>
      <c r="M1044" s="325">
        <f t="shared" si="1286"/>
        <v>3</v>
      </c>
      <c r="N1044" s="133">
        <f>SUM(B1044:M1044)</f>
        <v>27</v>
      </c>
      <c r="O1044" s="19">
        <f>IF(N1044=0,0,AVERAGE(B1044:M1044))</f>
        <v>2.25</v>
      </c>
      <c r="P1044" s="8"/>
      <c r="Q1044" s="8"/>
      <c r="R1044" s="8"/>
      <c r="S1044" s="8"/>
      <c r="T1044" s="8"/>
      <c r="U1044" s="8"/>
      <c r="V1044" s="8"/>
      <c r="W1044" s="8"/>
      <c r="X1044" s="8"/>
      <c r="Y1044" s="8"/>
      <c r="Z1044" s="8"/>
    </row>
    <row r="1045" spans="1:26" s="9" customFormat="1" ht="15.75">
      <c r="A1045" s="324" t="s">
        <v>596</v>
      </c>
      <c r="B1045" s="325">
        <f t="shared" si="1281"/>
        <v>12</v>
      </c>
      <c r="C1045" s="325">
        <f t="shared" si="1281"/>
        <v>11</v>
      </c>
      <c r="D1045" s="325">
        <f t="shared" ref="D1045:E1045" si="1287">D1060+D1082</f>
        <v>9</v>
      </c>
      <c r="E1045" s="325">
        <f t="shared" si="1287"/>
        <v>9</v>
      </c>
      <c r="F1045" s="325">
        <f t="shared" ref="F1045:G1045" si="1288">F1060+F1082</f>
        <v>9</v>
      </c>
      <c r="G1045" s="325">
        <f t="shared" si="1288"/>
        <v>17</v>
      </c>
      <c r="H1045" s="325">
        <f t="shared" ref="H1045:I1045" si="1289">H1060+H1082</f>
        <v>15</v>
      </c>
      <c r="I1045" s="325">
        <f t="shared" si="1289"/>
        <v>19</v>
      </c>
      <c r="J1045" s="325">
        <f t="shared" ref="J1045:K1045" si="1290">J1060+J1082</f>
        <v>15</v>
      </c>
      <c r="K1045" s="325">
        <f t="shared" si="1290"/>
        <v>18</v>
      </c>
      <c r="L1045" s="325">
        <f t="shared" ref="L1045:M1045" si="1291">L1060+L1082</f>
        <v>15</v>
      </c>
      <c r="M1045" s="325">
        <f t="shared" si="1291"/>
        <v>15</v>
      </c>
      <c r="N1045" s="133">
        <f t="shared" ref="N1045:N1053" si="1292">SUM(B1045:M1045)</f>
        <v>164</v>
      </c>
      <c r="O1045" s="19">
        <f t="shared" ref="O1045:O1053" si="1293">IF(N1045=0,0,AVERAGE(B1045:M1045))</f>
        <v>13.666666666666666</v>
      </c>
      <c r="P1045" s="8"/>
      <c r="Q1045" s="8"/>
      <c r="R1045" s="8"/>
      <c r="S1045" s="8"/>
      <c r="T1045" s="8"/>
      <c r="U1045" s="8"/>
      <c r="V1045" s="8"/>
      <c r="W1045" s="8"/>
      <c r="X1045" s="8"/>
      <c r="Y1045" s="8"/>
      <c r="Z1045" s="8"/>
    </row>
    <row r="1046" spans="1:26" s="9" customFormat="1" ht="15.75">
      <c r="A1046" s="324" t="s">
        <v>595</v>
      </c>
      <c r="B1046" s="325">
        <f t="shared" si="1281"/>
        <v>2</v>
      </c>
      <c r="C1046" s="325">
        <f t="shared" si="1281"/>
        <v>2</v>
      </c>
      <c r="D1046" s="325">
        <f t="shared" ref="D1046:E1046" si="1294">D1061+D1083</f>
        <v>2</v>
      </c>
      <c r="E1046" s="325">
        <f t="shared" si="1294"/>
        <v>3</v>
      </c>
      <c r="F1046" s="325">
        <f t="shared" ref="F1046:G1046" si="1295">F1061+F1083</f>
        <v>3</v>
      </c>
      <c r="G1046" s="325">
        <f t="shared" si="1295"/>
        <v>5</v>
      </c>
      <c r="H1046" s="325">
        <f t="shared" ref="H1046:I1046" si="1296">H1061+H1083</f>
        <v>3</v>
      </c>
      <c r="I1046" s="325">
        <f t="shared" si="1296"/>
        <v>4</v>
      </c>
      <c r="J1046" s="325">
        <f t="shared" ref="J1046:K1046" si="1297">J1061+J1083</f>
        <v>5</v>
      </c>
      <c r="K1046" s="325">
        <f t="shared" si="1297"/>
        <v>7</v>
      </c>
      <c r="L1046" s="325">
        <f t="shared" ref="L1046:M1046" si="1298">L1061+L1083</f>
        <v>11</v>
      </c>
      <c r="M1046" s="325">
        <f t="shared" si="1298"/>
        <v>4</v>
      </c>
      <c r="N1046" s="133">
        <f t="shared" si="1292"/>
        <v>51</v>
      </c>
      <c r="O1046" s="19">
        <f t="shared" si="1293"/>
        <v>4.25</v>
      </c>
      <c r="P1046" s="8"/>
      <c r="Q1046" s="8"/>
      <c r="R1046" s="8"/>
      <c r="S1046" s="8"/>
      <c r="T1046" s="8"/>
      <c r="U1046" s="8"/>
      <c r="V1046" s="8"/>
      <c r="W1046" s="8"/>
      <c r="X1046" s="8"/>
      <c r="Y1046" s="8"/>
      <c r="Z1046" s="8"/>
    </row>
    <row r="1047" spans="1:26" s="9" customFormat="1" ht="15.75">
      <c r="A1047" s="324" t="s">
        <v>597</v>
      </c>
      <c r="B1047" s="325">
        <f t="shared" si="1281"/>
        <v>1</v>
      </c>
      <c r="C1047" s="325">
        <f t="shared" si="1281"/>
        <v>2</v>
      </c>
      <c r="D1047" s="325">
        <f t="shared" ref="D1047:E1047" si="1299">D1062+D1084</f>
        <v>4</v>
      </c>
      <c r="E1047" s="325">
        <f t="shared" si="1299"/>
        <v>4</v>
      </c>
      <c r="F1047" s="325">
        <f t="shared" ref="F1047:G1047" si="1300">F1062+F1084</f>
        <v>2</v>
      </c>
      <c r="G1047" s="325">
        <f t="shared" si="1300"/>
        <v>2</v>
      </c>
      <c r="H1047" s="325">
        <f t="shared" ref="H1047:I1047" si="1301">H1062+H1084</f>
        <v>7</v>
      </c>
      <c r="I1047" s="325">
        <f t="shared" si="1301"/>
        <v>5</v>
      </c>
      <c r="J1047" s="325">
        <f t="shared" ref="J1047:K1047" si="1302">J1062+J1084</f>
        <v>6</v>
      </c>
      <c r="K1047" s="325">
        <f t="shared" si="1302"/>
        <v>7</v>
      </c>
      <c r="L1047" s="325">
        <f t="shared" ref="L1047:M1047" si="1303">L1062+L1084</f>
        <v>10</v>
      </c>
      <c r="M1047" s="325">
        <f t="shared" si="1303"/>
        <v>7</v>
      </c>
      <c r="N1047" s="133">
        <f t="shared" si="1292"/>
        <v>57</v>
      </c>
      <c r="O1047" s="19">
        <f t="shared" si="1293"/>
        <v>4.75</v>
      </c>
      <c r="P1047" s="8"/>
      <c r="Q1047" s="8"/>
      <c r="R1047" s="8"/>
      <c r="S1047" s="8"/>
      <c r="T1047" s="8"/>
      <c r="U1047" s="8"/>
      <c r="V1047" s="8"/>
      <c r="W1047" s="8"/>
      <c r="X1047" s="8"/>
      <c r="Y1047" s="8"/>
      <c r="Z1047" s="8"/>
    </row>
    <row r="1048" spans="1:26" s="9" customFormat="1" ht="15.75">
      <c r="A1048" s="324" t="s">
        <v>379</v>
      </c>
      <c r="B1048" s="325">
        <f t="shared" si="1281"/>
        <v>1</v>
      </c>
      <c r="C1048" s="325">
        <f t="shared" si="1281"/>
        <v>0</v>
      </c>
      <c r="D1048" s="325">
        <f t="shared" ref="D1048:E1048" si="1304">D1063+D1085</f>
        <v>2</v>
      </c>
      <c r="E1048" s="325">
        <f t="shared" si="1304"/>
        <v>1</v>
      </c>
      <c r="F1048" s="325">
        <f t="shared" ref="F1048:G1048" si="1305">F1063+F1085</f>
        <v>1</v>
      </c>
      <c r="G1048" s="325">
        <f t="shared" si="1305"/>
        <v>0</v>
      </c>
      <c r="H1048" s="325">
        <f t="shared" ref="H1048:I1048" si="1306">H1063+H1085</f>
        <v>0</v>
      </c>
      <c r="I1048" s="325">
        <f t="shared" si="1306"/>
        <v>0</v>
      </c>
      <c r="J1048" s="325">
        <f t="shared" ref="J1048:K1048" si="1307">J1063+J1085</f>
        <v>1</v>
      </c>
      <c r="K1048" s="325">
        <f t="shared" si="1307"/>
        <v>1</v>
      </c>
      <c r="L1048" s="325">
        <f t="shared" ref="L1048:M1048" si="1308">L1063+L1085</f>
        <v>2</v>
      </c>
      <c r="M1048" s="325">
        <f t="shared" si="1308"/>
        <v>2</v>
      </c>
      <c r="N1048" s="133">
        <f t="shared" si="1292"/>
        <v>11</v>
      </c>
      <c r="O1048" s="19">
        <f t="shared" si="1293"/>
        <v>0.91666666666666663</v>
      </c>
      <c r="P1048" s="8"/>
      <c r="Q1048" s="8"/>
      <c r="R1048" s="8"/>
      <c r="S1048" s="8"/>
      <c r="T1048" s="8"/>
      <c r="U1048" s="8"/>
      <c r="V1048" s="8"/>
      <c r="W1048" s="8"/>
      <c r="X1048" s="8"/>
      <c r="Y1048" s="8"/>
      <c r="Z1048" s="8"/>
    </row>
    <row r="1049" spans="1:26" s="9" customFormat="1" ht="15.75">
      <c r="A1049" s="324" t="s">
        <v>159</v>
      </c>
      <c r="B1049" s="325">
        <f t="shared" si="1281"/>
        <v>6</v>
      </c>
      <c r="C1049" s="325">
        <f t="shared" si="1281"/>
        <v>8</v>
      </c>
      <c r="D1049" s="325">
        <f t="shared" ref="D1049:E1049" si="1309">D1064+D1086</f>
        <v>8</v>
      </c>
      <c r="E1049" s="325">
        <f t="shared" si="1309"/>
        <v>7</v>
      </c>
      <c r="F1049" s="325">
        <f t="shared" ref="F1049:G1049" si="1310">F1064+F1086</f>
        <v>6</v>
      </c>
      <c r="G1049" s="325">
        <f t="shared" si="1310"/>
        <v>3</v>
      </c>
      <c r="H1049" s="325">
        <f t="shared" ref="H1049:I1049" si="1311">H1064+H1086</f>
        <v>7</v>
      </c>
      <c r="I1049" s="325">
        <f t="shared" si="1311"/>
        <v>7</v>
      </c>
      <c r="J1049" s="325">
        <f t="shared" ref="J1049:K1049" si="1312">J1064+J1086</f>
        <v>5</v>
      </c>
      <c r="K1049" s="325">
        <f t="shared" si="1312"/>
        <v>5</v>
      </c>
      <c r="L1049" s="325">
        <f t="shared" ref="L1049:M1049" si="1313">L1064+L1086</f>
        <v>10</v>
      </c>
      <c r="M1049" s="325">
        <f t="shared" si="1313"/>
        <v>6</v>
      </c>
      <c r="N1049" s="133">
        <f t="shared" si="1292"/>
        <v>78</v>
      </c>
      <c r="O1049" s="19">
        <f t="shared" si="1293"/>
        <v>6.5</v>
      </c>
      <c r="P1049" s="8"/>
      <c r="Q1049" s="8"/>
      <c r="R1049" s="8"/>
      <c r="S1049" s="8"/>
      <c r="T1049" s="8"/>
      <c r="U1049" s="8"/>
      <c r="V1049" s="8"/>
      <c r="W1049" s="8"/>
      <c r="X1049" s="8"/>
      <c r="Y1049" s="8"/>
      <c r="Z1049" s="8"/>
    </row>
    <row r="1050" spans="1:26" s="9" customFormat="1" ht="15.75">
      <c r="A1050" s="324" t="s">
        <v>598</v>
      </c>
      <c r="B1050" s="325">
        <f t="shared" si="1281"/>
        <v>3</v>
      </c>
      <c r="C1050" s="325">
        <f t="shared" si="1281"/>
        <v>3</v>
      </c>
      <c r="D1050" s="325">
        <f t="shared" ref="D1050:E1050" si="1314">D1065+D1087</f>
        <v>3</v>
      </c>
      <c r="E1050" s="325">
        <f t="shared" si="1314"/>
        <v>8</v>
      </c>
      <c r="F1050" s="325">
        <f t="shared" ref="F1050:G1050" si="1315">F1065+F1087</f>
        <v>11</v>
      </c>
      <c r="G1050" s="325">
        <f t="shared" si="1315"/>
        <v>15</v>
      </c>
      <c r="H1050" s="325">
        <f t="shared" ref="H1050:I1050" si="1316">H1065+H1087</f>
        <v>10</v>
      </c>
      <c r="I1050" s="325">
        <f t="shared" si="1316"/>
        <v>12</v>
      </c>
      <c r="J1050" s="325">
        <f t="shared" ref="J1050:K1050" si="1317">J1065+J1087</f>
        <v>9</v>
      </c>
      <c r="K1050" s="325">
        <f t="shared" si="1317"/>
        <v>10</v>
      </c>
      <c r="L1050" s="325">
        <f t="shared" ref="L1050:M1050" si="1318">L1065+L1087</f>
        <v>14</v>
      </c>
      <c r="M1050" s="325">
        <f t="shared" si="1318"/>
        <v>18</v>
      </c>
      <c r="N1050" s="133">
        <f t="shared" si="1292"/>
        <v>116</v>
      </c>
      <c r="O1050" s="19">
        <f t="shared" si="1293"/>
        <v>9.6666666666666661</v>
      </c>
      <c r="P1050" s="8"/>
      <c r="Q1050" s="8"/>
      <c r="R1050" s="8"/>
      <c r="S1050" s="8"/>
      <c r="T1050" s="8"/>
      <c r="U1050" s="8"/>
      <c r="V1050" s="8"/>
      <c r="W1050" s="8"/>
      <c r="X1050" s="8"/>
      <c r="Y1050" s="8"/>
      <c r="Z1050" s="8"/>
    </row>
    <row r="1051" spans="1:26" s="9" customFormat="1" ht="15.75">
      <c r="A1051" s="324" t="s">
        <v>599</v>
      </c>
      <c r="B1051" s="325">
        <f t="shared" si="1281"/>
        <v>11</v>
      </c>
      <c r="C1051" s="325">
        <f t="shared" si="1281"/>
        <v>3</v>
      </c>
      <c r="D1051" s="325">
        <f t="shared" ref="D1051:E1051" si="1319">D1066+D1088</f>
        <v>1</v>
      </c>
      <c r="E1051" s="325">
        <f t="shared" si="1319"/>
        <v>1</v>
      </c>
      <c r="F1051" s="325">
        <f t="shared" ref="F1051:G1051" si="1320">F1066+F1088</f>
        <v>9</v>
      </c>
      <c r="G1051" s="325">
        <f t="shared" si="1320"/>
        <v>12</v>
      </c>
      <c r="H1051" s="325">
        <f t="shared" ref="H1051:I1051" si="1321">H1066+H1088</f>
        <v>10</v>
      </c>
      <c r="I1051" s="325">
        <f t="shared" si="1321"/>
        <v>17</v>
      </c>
      <c r="J1051" s="325">
        <f t="shared" ref="J1051:K1051" si="1322">J1066+J1088</f>
        <v>7</v>
      </c>
      <c r="K1051" s="325">
        <f t="shared" si="1322"/>
        <v>19</v>
      </c>
      <c r="L1051" s="325">
        <f t="shared" ref="L1051:M1051" si="1323">L1066+L1088</f>
        <v>17</v>
      </c>
      <c r="M1051" s="325">
        <f t="shared" si="1323"/>
        <v>8</v>
      </c>
      <c r="N1051" s="133">
        <f t="shared" si="1292"/>
        <v>115</v>
      </c>
      <c r="O1051" s="19">
        <f t="shared" si="1293"/>
        <v>9.5833333333333339</v>
      </c>
      <c r="P1051" s="8"/>
      <c r="Q1051" s="8"/>
      <c r="R1051" s="8"/>
      <c r="S1051" s="8"/>
      <c r="T1051" s="8"/>
      <c r="U1051" s="8"/>
      <c r="V1051" s="8"/>
      <c r="W1051" s="8"/>
      <c r="X1051" s="8"/>
      <c r="Y1051" s="8"/>
      <c r="Z1051" s="8"/>
    </row>
    <row r="1052" spans="1:26" s="9" customFormat="1" ht="15.75">
      <c r="A1052" s="324" t="s">
        <v>600</v>
      </c>
      <c r="B1052" s="325">
        <f t="shared" si="1281"/>
        <v>4</v>
      </c>
      <c r="C1052" s="325">
        <f t="shared" si="1281"/>
        <v>6</v>
      </c>
      <c r="D1052" s="325">
        <f t="shared" ref="D1052:E1052" si="1324">D1067+D1089</f>
        <v>6</v>
      </c>
      <c r="E1052" s="325">
        <f t="shared" si="1324"/>
        <v>3</v>
      </c>
      <c r="F1052" s="325">
        <f t="shared" ref="F1052:G1052" si="1325">F1067+F1089</f>
        <v>11</v>
      </c>
      <c r="G1052" s="325">
        <f t="shared" si="1325"/>
        <v>5</v>
      </c>
      <c r="H1052" s="325">
        <f t="shared" ref="H1052:I1052" si="1326">H1067+H1089</f>
        <v>3</v>
      </c>
      <c r="I1052" s="325">
        <f t="shared" si="1326"/>
        <v>8</v>
      </c>
      <c r="J1052" s="325">
        <f t="shared" ref="J1052:K1052" si="1327">J1067+J1089</f>
        <v>5</v>
      </c>
      <c r="K1052" s="325">
        <f t="shared" si="1327"/>
        <v>5</v>
      </c>
      <c r="L1052" s="325">
        <f t="shared" ref="L1052:M1052" si="1328">L1067+L1089</f>
        <v>9</v>
      </c>
      <c r="M1052" s="325">
        <f t="shared" si="1328"/>
        <v>5</v>
      </c>
      <c r="N1052" s="133">
        <f t="shared" si="1292"/>
        <v>70</v>
      </c>
      <c r="O1052" s="19">
        <f t="shared" si="1293"/>
        <v>5.833333333333333</v>
      </c>
      <c r="P1052" s="8"/>
      <c r="Q1052" s="8"/>
      <c r="R1052" s="8"/>
      <c r="S1052" s="8"/>
      <c r="T1052" s="8"/>
      <c r="U1052" s="8"/>
      <c r="V1052" s="8"/>
      <c r="W1052" s="8"/>
      <c r="X1052" s="8"/>
      <c r="Y1052" s="8"/>
      <c r="Z1052" s="8"/>
    </row>
    <row r="1053" spans="1:26" s="9" customFormat="1" ht="15.75">
      <c r="A1053" s="324" t="s">
        <v>601</v>
      </c>
      <c r="B1053" s="325">
        <f t="shared" si="1281"/>
        <v>9</v>
      </c>
      <c r="C1053" s="325">
        <f t="shared" si="1281"/>
        <v>19</v>
      </c>
      <c r="D1053" s="325">
        <f t="shared" ref="D1053:E1053" si="1329">D1068+D1090</f>
        <v>8</v>
      </c>
      <c r="E1053" s="325">
        <f t="shared" si="1329"/>
        <v>7</v>
      </c>
      <c r="F1053" s="325">
        <f t="shared" ref="F1053:G1053" si="1330">F1068+F1090</f>
        <v>12</v>
      </c>
      <c r="G1053" s="325">
        <f t="shared" si="1330"/>
        <v>15</v>
      </c>
      <c r="H1053" s="325">
        <f t="shared" ref="H1053:I1053" si="1331">H1068+H1090</f>
        <v>5</v>
      </c>
      <c r="I1053" s="325">
        <f t="shared" si="1331"/>
        <v>13</v>
      </c>
      <c r="J1053" s="325">
        <f t="shared" ref="J1053:K1053" si="1332">J1068+J1090</f>
        <v>25</v>
      </c>
      <c r="K1053" s="325">
        <f t="shared" si="1332"/>
        <v>24</v>
      </c>
      <c r="L1053" s="325">
        <f t="shared" ref="L1053:M1053" si="1333">L1068+L1090</f>
        <v>18</v>
      </c>
      <c r="M1053" s="325">
        <f t="shared" si="1333"/>
        <v>16</v>
      </c>
      <c r="N1053" s="133">
        <f t="shared" si="1292"/>
        <v>171</v>
      </c>
      <c r="O1053" s="19">
        <f t="shared" si="1293"/>
        <v>14.25</v>
      </c>
      <c r="P1053" s="8"/>
      <c r="Q1053" s="8"/>
      <c r="R1053" s="8"/>
      <c r="S1053" s="8"/>
      <c r="T1053" s="8"/>
      <c r="U1053" s="8"/>
      <c r="V1053" s="8"/>
      <c r="W1053" s="8"/>
      <c r="X1053" s="8"/>
      <c r="Y1053" s="8"/>
      <c r="Z1053" s="8"/>
    </row>
    <row r="1054" spans="1:26" s="9" customFormat="1" ht="15.75">
      <c r="A1054" s="324" t="s">
        <v>22</v>
      </c>
      <c r="B1054" s="325">
        <f t="shared" si="1281"/>
        <v>0</v>
      </c>
      <c r="C1054" s="325">
        <f t="shared" si="1281"/>
        <v>0</v>
      </c>
      <c r="D1054" s="325">
        <f t="shared" ref="D1054:E1054" si="1334">D1069+D1091</f>
        <v>0</v>
      </c>
      <c r="E1054" s="325">
        <f t="shared" si="1334"/>
        <v>0</v>
      </c>
      <c r="F1054" s="325">
        <f t="shared" ref="F1054:G1054" si="1335">F1069+F1091</f>
        <v>1</v>
      </c>
      <c r="G1054" s="325">
        <f t="shared" si="1335"/>
        <v>0</v>
      </c>
      <c r="H1054" s="325">
        <f t="shared" ref="H1054:I1054" si="1336">H1069+H1091</f>
        <v>0</v>
      </c>
      <c r="I1054" s="325">
        <f t="shared" si="1336"/>
        <v>0</v>
      </c>
      <c r="J1054" s="325">
        <f t="shared" ref="J1054:K1054" si="1337">J1069+J1091</f>
        <v>1</v>
      </c>
      <c r="K1054" s="325">
        <f t="shared" si="1337"/>
        <v>0</v>
      </c>
      <c r="L1054" s="325">
        <f t="shared" ref="L1054:M1054" si="1338">L1069+L1091</f>
        <v>1</v>
      </c>
      <c r="M1054" s="325">
        <f t="shared" si="1338"/>
        <v>0</v>
      </c>
      <c r="N1054" s="133">
        <f t="shared" ref="N1054" si="1339">SUM(B1054:M1054)</f>
        <v>3</v>
      </c>
      <c r="O1054" s="19">
        <f t="shared" ref="O1054" si="1340">IF(N1054=0,0,AVERAGE(B1054:M1054))</f>
        <v>0.25</v>
      </c>
      <c r="P1054" s="8"/>
      <c r="Q1054" s="8"/>
      <c r="R1054" s="8"/>
      <c r="S1054" s="8"/>
      <c r="T1054" s="8"/>
      <c r="U1054" s="8"/>
      <c r="V1054" s="8"/>
      <c r="W1054" s="8"/>
      <c r="X1054" s="8"/>
      <c r="Y1054" s="8"/>
      <c r="Z1054" s="8"/>
    </row>
    <row r="1055" spans="1:26" s="9" customFormat="1" ht="15.75">
      <c r="A1055" s="56" t="s">
        <v>21</v>
      </c>
      <c r="B1055" s="21">
        <f t="shared" ref="B1055:C1055" si="1341">SUM(B1044:B1054)</f>
        <v>50</v>
      </c>
      <c r="C1055" s="21">
        <f t="shared" si="1341"/>
        <v>57</v>
      </c>
      <c r="D1055" s="21">
        <f t="shared" ref="D1055:E1055" si="1342">SUM(D1044:D1054)</f>
        <v>46</v>
      </c>
      <c r="E1055" s="21">
        <f t="shared" si="1342"/>
        <v>47</v>
      </c>
      <c r="F1055" s="21">
        <f t="shared" ref="F1055:G1055" si="1343">SUM(F1044:F1054)</f>
        <v>65</v>
      </c>
      <c r="G1055" s="21">
        <f t="shared" si="1343"/>
        <v>76</v>
      </c>
      <c r="H1055" s="21">
        <f t="shared" ref="H1055:I1055" si="1344">SUM(H1044:H1054)</f>
        <v>62</v>
      </c>
      <c r="I1055" s="21">
        <f t="shared" si="1344"/>
        <v>88</v>
      </c>
      <c r="J1055" s="21">
        <f t="shared" ref="J1055:K1055" si="1345">SUM(J1044:J1054)</f>
        <v>82</v>
      </c>
      <c r="K1055" s="21">
        <f t="shared" si="1345"/>
        <v>97</v>
      </c>
      <c r="L1055" s="21">
        <f t="shared" ref="L1055:M1055" si="1346">SUM(L1044:L1054)</f>
        <v>109</v>
      </c>
      <c r="M1055" s="21">
        <f t="shared" si="1346"/>
        <v>84</v>
      </c>
      <c r="N1055" s="128">
        <f>SUM(N1040:N1053)</f>
        <v>9445</v>
      </c>
      <c r="O1055" s="22">
        <f>SUM(O1040:O1053)</f>
        <v>787.08333333333337</v>
      </c>
      <c r="P1055" s="8"/>
      <c r="Q1055" s="8"/>
      <c r="R1055" s="8"/>
      <c r="S1055" s="8"/>
      <c r="T1055" s="8"/>
      <c r="U1055" s="8"/>
      <c r="V1055" s="8"/>
      <c r="W1055" s="8"/>
      <c r="X1055" s="8"/>
      <c r="Y1055" s="8"/>
      <c r="Z1055" s="8"/>
    </row>
    <row r="1056" spans="1:26" s="9" customFormat="1" ht="15.75">
      <c r="A1056" s="56" t="s">
        <v>112</v>
      </c>
      <c r="B1056" s="22">
        <f t="shared" ref="B1056:G1056" si="1347">IF(B1055=0,"",B1055/B$1676)</f>
        <v>1.6129032258064515</v>
      </c>
      <c r="C1056" s="22">
        <f t="shared" si="1347"/>
        <v>2.0357142857142856</v>
      </c>
      <c r="D1056" s="22">
        <f t="shared" si="1347"/>
        <v>1.4838709677419355</v>
      </c>
      <c r="E1056" s="22">
        <f t="shared" si="1347"/>
        <v>1.5666666666666667</v>
      </c>
      <c r="F1056" s="22">
        <f t="shared" si="1347"/>
        <v>2.096774193548387</v>
      </c>
      <c r="G1056" s="22">
        <f t="shared" si="1347"/>
        <v>2.5333333333333332</v>
      </c>
      <c r="H1056" s="22">
        <f t="shared" ref="H1056:I1056" si="1348">IF(H1055=0,"",H1055/H$1676)</f>
        <v>2</v>
      </c>
      <c r="I1056" s="22">
        <f t="shared" si="1348"/>
        <v>2.838709677419355</v>
      </c>
      <c r="J1056" s="22">
        <f t="shared" ref="J1056:K1056" si="1349">IF(J1055=0,"",J1055/J$1676)</f>
        <v>2.7333333333333334</v>
      </c>
      <c r="K1056" s="22">
        <f t="shared" si="1349"/>
        <v>3.129032258064516</v>
      </c>
      <c r="L1056" s="22">
        <f t="shared" ref="L1056:M1056" si="1350">IF(L1055=0,"",L1055/L$1676)</f>
        <v>3.6333333333333333</v>
      </c>
      <c r="M1056" s="22">
        <f t="shared" si="1350"/>
        <v>2.7096774193548385</v>
      </c>
      <c r="N1056" s="128">
        <f>SUM(B1056:M1056)</f>
        <v>28.373348694316437</v>
      </c>
      <c r="O1056" s="22">
        <f>IF(N1056=0,0,AVERAGE(B1056:M1056))</f>
        <v>2.3644457245263699</v>
      </c>
      <c r="P1056" s="8"/>
      <c r="Q1056" s="8"/>
      <c r="R1056" s="8"/>
      <c r="S1056" s="8"/>
      <c r="T1056" s="8"/>
      <c r="U1056" s="8"/>
      <c r="V1056" s="8"/>
      <c r="W1056" s="8"/>
      <c r="X1056" s="8"/>
      <c r="Y1056" s="8"/>
      <c r="Z1056" s="8"/>
    </row>
    <row r="1057" spans="1:26" s="9" customFormat="1">
      <c r="A1057" s="323"/>
      <c r="B1057" s="318"/>
      <c r="C1057" s="318"/>
      <c r="D1057" s="318"/>
      <c r="E1057" s="318"/>
      <c r="F1057" s="318"/>
      <c r="G1057" s="318"/>
      <c r="H1057" s="318"/>
      <c r="I1057" s="318"/>
      <c r="J1057" s="318"/>
      <c r="K1057" s="318"/>
      <c r="L1057" s="318"/>
      <c r="M1057" s="318"/>
      <c r="N1057" s="319"/>
      <c r="O1057" s="320"/>
      <c r="P1057" s="8"/>
      <c r="Q1057" s="8"/>
      <c r="R1057" s="8"/>
      <c r="S1057" s="8"/>
      <c r="T1057" s="8"/>
      <c r="U1057" s="8"/>
      <c r="V1057" s="8"/>
      <c r="W1057" s="8"/>
      <c r="X1057" s="8"/>
      <c r="Y1057" s="8"/>
      <c r="Z1057" s="8"/>
    </row>
    <row r="1058" spans="1:26" s="9" customFormat="1" ht="15.75">
      <c r="A1058" s="60" t="s">
        <v>765</v>
      </c>
      <c r="B1058" s="75"/>
      <c r="C1058" s="75"/>
      <c r="D1058" s="75"/>
      <c r="E1058" s="75"/>
      <c r="F1058" s="75"/>
      <c r="G1058" s="75"/>
      <c r="H1058" s="75"/>
      <c r="I1058" s="75"/>
      <c r="J1058" s="75"/>
      <c r="K1058" s="75"/>
      <c r="L1058" s="75"/>
      <c r="M1058" s="75"/>
      <c r="N1058" s="146"/>
      <c r="O1058" s="76"/>
      <c r="P1058" s="8"/>
      <c r="Q1058" s="8"/>
      <c r="R1058" s="8"/>
      <c r="S1058" s="8"/>
      <c r="T1058" s="8"/>
      <c r="U1058" s="8"/>
      <c r="V1058" s="8"/>
      <c r="W1058" s="8"/>
      <c r="X1058" s="8"/>
      <c r="Y1058" s="8"/>
      <c r="Z1058" s="8"/>
    </row>
    <row r="1059" spans="1:26" s="9" customFormat="1" ht="15.75">
      <c r="A1059" s="324" t="s">
        <v>594</v>
      </c>
      <c r="B1059" s="325">
        <v>0</v>
      </c>
      <c r="C1059" s="325">
        <v>0</v>
      </c>
      <c r="D1059" s="325">
        <v>3</v>
      </c>
      <c r="E1059" s="325">
        <v>0</v>
      </c>
      <c r="F1059" s="325">
        <v>0</v>
      </c>
      <c r="G1059" s="325">
        <v>0</v>
      </c>
      <c r="H1059" s="325">
        <v>1</v>
      </c>
      <c r="I1059" s="325">
        <f>1</f>
        <v>1</v>
      </c>
      <c r="J1059" s="325">
        <v>0</v>
      </c>
      <c r="K1059" s="325">
        <v>1</v>
      </c>
      <c r="L1059" s="325">
        <v>2</v>
      </c>
      <c r="M1059" s="325">
        <v>0</v>
      </c>
      <c r="N1059" s="133">
        <f>SUM(B1059:M1059)</f>
        <v>8</v>
      </c>
      <c r="O1059" s="19">
        <f>IF(N1059=0,0,AVERAGE(B1059:M1059))</f>
        <v>0.66666666666666663</v>
      </c>
      <c r="P1059" s="8"/>
      <c r="Q1059" s="8"/>
      <c r="R1059" s="8"/>
      <c r="S1059" s="8"/>
      <c r="T1059" s="8"/>
      <c r="U1059" s="8"/>
      <c r="V1059" s="8"/>
      <c r="W1059" s="8"/>
      <c r="X1059" s="8"/>
      <c r="Y1059" s="8"/>
      <c r="Z1059" s="8"/>
    </row>
    <row r="1060" spans="1:26" s="9" customFormat="1" ht="15.75">
      <c r="A1060" s="324" t="s">
        <v>596</v>
      </c>
      <c r="B1060" s="325">
        <v>0</v>
      </c>
      <c r="C1060" s="325">
        <v>1</v>
      </c>
      <c r="D1060" s="325">
        <v>0</v>
      </c>
      <c r="E1060" s="325">
        <v>1</v>
      </c>
      <c r="F1060" s="325">
        <f>1+1</f>
        <v>2</v>
      </c>
      <c r="G1060" s="325">
        <v>4</v>
      </c>
      <c r="H1060" s="325">
        <v>1</v>
      </c>
      <c r="I1060" s="325">
        <v>0</v>
      </c>
      <c r="J1060" s="325">
        <v>2</v>
      </c>
      <c r="K1060" s="325">
        <v>0</v>
      </c>
      <c r="L1060" s="325">
        <v>2</v>
      </c>
      <c r="M1060" s="325">
        <f>1</f>
        <v>1</v>
      </c>
      <c r="N1060" s="133">
        <f t="shared" ref="N1060:N1069" si="1351">SUM(B1060:M1060)</f>
        <v>14</v>
      </c>
      <c r="O1060" s="19">
        <f t="shared" ref="O1060:O1069" si="1352">IF(N1060=0,0,AVERAGE(B1060:M1060))</f>
        <v>1.1666666666666667</v>
      </c>
      <c r="P1060" s="8"/>
      <c r="Q1060" s="8"/>
      <c r="R1060" s="8"/>
      <c r="S1060" s="8"/>
      <c r="T1060" s="8"/>
      <c r="U1060" s="8"/>
      <c r="V1060" s="8"/>
      <c r="W1060" s="8"/>
      <c r="X1060" s="8"/>
      <c r="Y1060" s="8"/>
      <c r="Z1060" s="8"/>
    </row>
    <row r="1061" spans="1:26" s="9" customFormat="1" ht="15.75">
      <c r="A1061" s="324" t="s">
        <v>595</v>
      </c>
      <c r="B1061" s="325">
        <v>0</v>
      </c>
      <c r="C1061" s="325">
        <v>1</v>
      </c>
      <c r="D1061" s="325">
        <v>0</v>
      </c>
      <c r="E1061" s="325">
        <v>2</v>
      </c>
      <c r="F1061" s="325">
        <v>1</v>
      </c>
      <c r="G1061" s="325">
        <v>0</v>
      </c>
      <c r="H1061" s="325">
        <v>1</v>
      </c>
      <c r="I1061" s="325">
        <v>0</v>
      </c>
      <c r="J1061" s="325">
        <v>0</v>
      </c>
      <c r="K1061" s="325">
        <v>1</v>
      </c>
      <c r="L1061" s="325">
        <v>1</v>
      </c>
      <c r="M1061" s="325">
        <v>1</v>
      </c>
      <c r="N1061" s="133">
        <f t="shared" si="1351"/>
        <v>8</v>
      </c>
      <c r="O1061" s="19">
        <f t="shared" si="1352"/>
        <v>0.66666666666666663</v>
      </c>
      <c r="P1061" s="8"/>
      <c r="Q1061" s="8"/>
      <c r="R1061" s="8"/>
      <c r="S1061" s="8"/>
      <c r="T1061" s="8"/>
      <c r="U1061" s="8"/>
      <c r="V1061" s="8"/>
      <c r="W1061" s="8"/>
      <c r="X1061" s="8"/>
      <c r="Y1061" s="8"/>
      <c r="Z1061" s="8"/>
    </row>
    <row r="1062" spans="1:26" s="9" customFormat="1" ht="15.75">
      <c r="A1062" s="324" t="s">
        <v>597</v>
      </c>
      <c r="B1062" s="325">
        <v>0</v>
      </c>
      <c r="C1062" s="325">
        <v>0</v>
      </c>
      <c r="D1062" s="325">
        <v>2</v>
      </c>
      <c r="E1062" s="325">
        <v>1</v>
      </c>
      <c r="F1062" s="325">
        <v>0</v>
      </c>
      <c r="G1062" s="325">
        <v>1</v>
      </c>
      <c r="H1062" s="325">
        <v>0</v>
      </c>
      <c r="I1062" s="325">
        <v>0</v>
      </c>
      <c r="J1062" s="325">
        <v>0</v>
      </c>
      <c r="K1062" s="325">
        <v>1</v>
      </c>
      <c r="L1062" s="325">
        <v>1</v>
      </c>
      <c r="M1062" s="325">
        <v>2</v>
      </c>
      <c r="N1062" s="133">
        <f t="shared" si="1351"/>
        <v>8</v>
      </c>
      <c r="O1062" s="19">
        <f t="shared" si="1352"/>
        <v>0.66666666666666663</v>
      </c>
      <c r="P1062" s="8"/>
      <c r="Q1062" s="8"/>
      <c r="R1062" s="8"/>
      <c r="S1062" s="8"/>
      <c r="T1062" s="8"/>
      <c r="U1062" s="8"/>
      <c r="V1062" s="8"/>
      <c r="W1062" s="8"/>
      <c r="X1062" s="8"/>
      <c r="Y1062" s="8"/>
      <c r="Z1062" s="8"/>
    </row>
    <row r="1063" spans="1:26" s="9" customFormat="1" ht="15.75">
      <c r="A1063" s="324" t="s">
        <v>379</v>
      </c>
      <c r="B1063" s="325">
        <v>1</v>
      </c>
      <c r="C1063" s="325">
        <v>0</v>
      </c>
      <c r="D1063" s="325">
        <v>2</v>
      </c>
      <c r="E1063" s="325">
        <v>1</v>
      </c>
      <c r="F1063" s="325">
        <v>0</v>
      </c>
      <c r="G1063" s="325">
        <v>0</v>
      </c>
      <c r="H1063" s="325">
        <v>0</v>
      </c>
      <c r="I1063" s="325">
        <v>0</v>
      </c>
      <c r="J1063" s="325">
        <v>0</v>
      </c>
      <c r="K1063" s="325">
        <v>1</v>
      </c>
      <c r="L1063" s="325">
        <v>1</v>
      </c>
      <c r="M1063" s="325">
        <v>1</v>
      </c>
      <c r="N1063" s="133">
        <f t="shared" si="1351"/>
        <v>7</v>
      </c>
      <c r="O1063" s="19">
        <f t="shared" si="1352"/>
        <v>0.58333333333333337</v>
      </c>
      <c r="P1063" s="8"/>
      <c r="Q1063" s="8"/>
      <c r="R1063" s="8"/>
      <c r="S1063" s="8"/>
      <c r="T1063" s="8"/>
      <c r="U1063" s="8"/>
      <c r="V1063" s="8"/>
      <c r="W1063" s="8"/>
      <c r="X1063" s="8"/>
      <c r="Y1063" s="8"/>
      <c r="Z1063" s="8"/>
    </row>
    <row r="1064" spans="1:26" s="9" customFormat="1" ht="15.75">
      <c r="A1064" s="324" t="s">
        <v>159</v>
      </c>
      <c r="B1064" s="325">
        <v>2</v>
      </c>
      <c r="C1064" s="325">
        <v>2</v>
      </c>
      <c r="D1064" s="325">
        <v>1</v>
      </c>
      <c r="E1064" s="325">
        <v>2</v>
      </c>
      <c r="F1064" s="325">
        <f>1+3</f>
        <v>4</v>
      </c>
      <c r="G1064" s="325">
        <v>3</v>
      </c>
      <c r="H1064" s="325">
        <v>4</v>
      </c>
      <c r="I1064" s="325">
        <f>1</f>
        <v>1</v>
      </c>
      <c r="J1064" s="325">
        <v>0</v>
      </c>
      <c r="K1064" s="325">
        <v>3</v>
      </c>
      <c r="L1064" s="325">
        <v>3</v>
      </c>
      <c r="M1064" s="325">
        <v>1</v>
      </c>
      <c r="N1064" s="133">
        <f t="shared" si="1351"/>
        <v>26</v>
      </c>
      <c r="O1064" s="19">
        <f t="shared" si="1352"/>
        <v>2.1666666666666665</v>
      </c>
      <c r="P1064" s="8"/>
      <c r="Q1064" s="8"/>
      <c r="R1064" s="8"/>
      <c r="S1064" s="8"/>
      <c r="T1064" s="8"/>
      <c r="U1064" s="8"/>
      <c r="V1064" s="8"/>
      <c r="W1064" s="8"/>
      <c r="X1064" s="8"/>
      <c r="Y1064" s="8"/>
      <c r="Z1064" s="8"/>
    </row>
    <row r="1065" spans="1:26" s="9" customFormat="1" ht="15.75">
      <c r="A1065" s="324" t="s">
        <v>598</v>
      </c>
      <c r="B1065" s="325">
        <v>0</v>
      </c>
      <c r="C1065" s="325">
        <v>0</v>
      </c>
      <c r="D1065" s="325">
        <v>0</v>
      </c>
      <c r="E1065" s="325">
        <v>0</v>
      </c>
      <c r="F1065" s="325">
        <v>1</v>
      </c>
      <c r="G1065" s="325">
        <v>4</v>
      </c>
      <c r="H1065" s="325">
        <v>0</v>
      </c>
      <c r="I1065" s="325">
        <f>2</f>
        <v>2</v>
      </c>
      <c r="J1065" s="325">
        <v>2</v>
      </c>
      <c r="K1065" s="325">
        <v>5</v>
      </c>
      <c r="L1065" s="325">
        <v>0</v>
      </c>
      <c r="M1065" s="325">
        <v>1</v>
      </c>
      <c r="N1065" s="133">
        <f t="shared" si="1351"/>
        <v>15</v>
      </c>
      <c r="O1065" s="19">
        <f t="shared" si="1352"/>
        <v>1.25</v>
      </c>
      <c r="P1065" s="8"/>
      <c r="Q1065" s="8"/>
      <c r="R1065" s="8"/>
      <c r="S1065" s="8"/>
      <c r="T1065" s="8"/>
      <c r="U1065" s="8"/>
      <c r="V1065" s="8"/>
      <c r="W1065" s="8"/>
      <c r="X1065" s="8"/>
      <c r="Y1065" s="8"/>
      <c r="Z1065" s="8"/>
    </row>
    <row r="1066" spans="1:26" s="9" customFormat="1" ht="15.75">
      <c r="A1066" s="324" t="s">
        <v>599</v>
      </c>
      <c r="B1066" s="325">
        <v>0</v>
      </c>
      <c r="C1066" s="325">
        <v>0</v>
      </c>
      <c r="D1066" s="325">
        <v>0</v>
      </c>
      <c r="E1066" s="325">
        <v>0</v>
      </c>
      <c r="F1066" s="325">
        <v>0</v>
      </c>
      <c r="G1066" s="325">
        <v>3</v>
      </c>
      <c r="H1066" s="325">
        <v>0</v>
      </c>
      <c r="I1066" s="325">
        <f>1</f>
        <v>1</v>
      </c>
      <c r="J1066" s="325">
        <v>0</v>
      </c>
      <c r="K1066" s="325">
        <v>6</v>
      </c>
      <c r="L1066" s="325">
        <v>0</v>
      </c>
      <c r="M1066" s="325">
        <v>0</v>
      </c>
      <c r="N1066" s="133">
        <f t="shared" si="1351"/>
        <v>10</v>
      </c>
      <c r="O1066" s="19">
        <f t="shared" si="1352"/>
        <v>0.83333333333333337</v>
      </c>
      <c r="P1066" s="8"/>
      <c r="Q1066" s="8"/>
      <c r="R1066" s="8"/>
      <c r="S1066" s="8"/>
      <c r="T1066" s="8"/>
      <c r="U1066" s="8"/>
      <c r="V1066" s="8"/>
      <c r="W1066" s="8"/>
      <c r="X1066" s="8"/>
      <c r="Y1066" s="8"/>
      <c r="Z1066" s="8"/>
    </row>
    <row r="1067" spans="1:26" s="9" customFormat="1" ht="15.75">
      <c r="A1067" s="324" t="s">
        <v>600</v>
      </c>
      <c r="B1067" s="325">
        <v>0</v>
      </c>
      <c r="C1067" s="325">
        <v>0</v>
      </c>
      <c r="D1067" s="325">
        <v>0</v>
      </c>
      <c r="E1067" s="325">
        <v>1</v>
      </c>
      <c r="F1067" s="325">
        <v>1</v>
      </c>
      <c r="G1067" s="325">
        <v>0</v>
      </c>
      <c r="H1067" s="325">
        <v>0</v>
      </c>
      <c r="I1067" s="325">
        <v>0</v>
      </c>
      <c r="J1067" s="325">
        <v>0</v>
      </c>
      <c r="K1067" s="325">
        <v>0</v>
      </c>
      <c r="L1067" s="325">
        <v>2</v>
      </c>
      <c r="M1067" s="325">
        <v>0</v>
      </c>
      <c r="N1067" s="133">
        <f t="shared" si="1351"/>
        <v>4</v>
      </c>
      <c r="O1067" s="19">
        <f t="shared" si="1352"/>
        <v>0.33333333333333331</v>
      </c>
      <c r="P1067" s="8"/>
      <c r="Q1067" s="8"/>
      <c r="R1067" s="8"/>
      <c r="S1067" s="8"/>
      <c r="T1067" s="8"/>
      <c r="U1067" s="8"/>
      <c r="V1067" s="8"/>
      <c r="W1067" s="8"/>
      <c r="X1067" s="8"/>
      <c r="Y1067" s="8"/>
      <c r="Z1067" s="8"/>
    </row>
    <row r="1068" spans="1:26" s="9" customFormat="1" ht="15.75">
      <c r="A1068" s="324" t="s">
        <v>601</v>
      </c>
      <c r="B1068" s="325">
        <f>4+1</f>
        <v>5</v>
      </c>
      <c r="C1068" s="325">
        <v>10</v>
      </c>
      <c r="D1068" s="325">
        <v>1</v>
      </c>
      <c r="E1068" s="325">
        <v>1</v>
      </c>
      <c r="F1068" s="325">
        <v>5</v>
      </c>
      <c r="G1068" s="325">
        <v>4</v>
      </c>
      <c r="H1068" s="325">
        <v>3</v>
      </c>
      <c r="I1068" s="325">
        <f>7+5+1</f>
        <v>13</v>
      </c>
      <c r="J1068" s="325">
        <v>8</v>
      </c>
      <c r="K1068" s="325">
        <v>9</v>
      </c>
      <c r="L1068" s="325">
        <v>7</v>
      </c>
      <c r="M1068" s="325">
        <f>8+3</f>
        <v>11</v>
      </c>
      <c r="N1068" s="133">
        <f t="shared" ref="N1068" si="1353">SUM(B1068:M1068)</f>
        <v>77</v>
      </c>
      <c r="O1068" s="19">
        <f t="shared" ref="O1068" si="1354">IF(N1068=0,0,AVERAGE(B1068:M1068))</f>
        <v>6.416666666666667</v>
      </c>
      <c r="P1068" s="8"/>
      <c r="Q1068" s="8"/>
      <c r="R1068" s="8"/>
      <c r="S1068" s="8"/>
      <c r="T1068" s="8"/>
      <c r="U1068" s="8"/>
      <c r="V1068" s="8"/>
      <c r="W1068" s="8"/>
      <c r="X1068" s="8"/>
      <c r="Y1068" s="8"/>
      <c r="Z1068" s="8"/>
    </row>
    <row r="1069" spans="1:26" s="9" customFormat="1" ht="15.75">
      <c r="A1069" s="324" t="s">
        <v>22</v>
      </c>
      <c r="B1069" s="325">
        <v>0</v>
      </c>
      <c r="C1069" s="325">
        <v>0</v>
      </c>
      <c r="D1069" s="325">
        <v>0</v>
      </c>
      <c r="E1069" s="325">
        <v>0</v>
      </c>
      <c r="F1069" s="325">
        <v>1</v>
      </c>
      <c r="G1069" s="325">
        <v>0</v>
      </c>
      <c r="H1069" s="325">
        <v>0</v>
      </c>
      <c r="I1069" s="325">
        <v>0</v>
      </c>
      <c r="J1069" s="325">
        <v>0</v>
      </c>
      <c r="K1069" s="325">
        <v>0</v>
      </c>
      <c r="L1069" s="325">
        <v>1</v>
      </c>
      <c r="M1069" s="325">
        <v>0</v>
      </c>
      <c r="N1069" s="133">
        <f t="shared" si="1351"/>
        <v>2</v>
      </c>
      <c r="O1069" s="19">
        <f t="shared" si="1352"/>
        <v>0.16666666666666666</v>
      </c>
      <c r="P1069" s="8"/>
      <c r="Q1069" s="8"/>
      <c r="R1069" s="8"/>
      <c r="S1069" s="8"/>
      <c r="T1069" s="8"/>
      <c r="U1069" s="8"/>
      <c r="V1069" s="8"/>
      <c r="W1069" s="8"/>
      <c r="X1069" s="8"/>
      <c r="Y1069" s="8"/>
      <c r="Z1069" s="8"/>
    </row>
    <row r="1070" spans="1:26" s="9" customFormat="1" ht="15.75">
      <c r="A1070" s="56" t="s">
        <v>21</v>
      </c>
      <c r="B1070" s="21">
        <f t="shared" ref="B1070:C1070" si="1355">SUM(B1059:B1069)</f>
        <v>8</v>
      </c>
      <c r="C1070" s="21">
        <f t="shared" si="1355"/>
        <v>14</v>
      </c>
      <c r="D1070" s="21">
        <f t="shared" ref="D1070:E1070" si="1356">SUM(D1059:D1069)</f>
        <v>9</v>
      </c>
      <c r="E1070" s="21">
        <f t="shared" si="1356"/>
        <v>9</v>
      </c>
      <c r="F1070" s="21">
        <f t="shared" ref="F1070:G1070" si="1357">SUM(F1059:F1069)</f>
        <v>15</v>
      </c>
      <c r="G1070" s="21">
        <f t="shared" si="1357"/>
        <v>19</v>
      </c>
      <c r="H1070" s="21">
        <f t="shared" ref="H1070:I1070" si="1358">SUM(H1059:H1069)</f>
        <v>10</v>
      </c>
      <c r="I1070" s="21">
        <f t="shared" si="1358"/>
        <v>18</v>
      </c>
      <c r="J1070" s="21">
        <f t="shared" ref="J1070:K1070" si="1359">SUM(J1059:J1069)</f>
        <v>12</v>
      </c>
      <c r="K1070" s="21">
        <f t="shared" si="1359"/>
        <v>27</v>
      </c>
      <c r="L1070" s="21">
        <f t="shared" ref="L1070:M1070" si="1360">SUM(L1059:L1069)</f>
        <v>20</v>
      </c>
      <c r="M1070" s="21">
        <f t="shared" si="1360"/>
        <v>18</v>
      </c>
      <c r="N1070" s="128">
        <f>SUM(N1055:N1069)</f>
        <v>9652.3733486943165</v>
      </c>
      <c r="O1070" s="22">
        <f>SUM(O1055:O1069)</f>
        <v>804.36444572452626</v>
      </c>
      <c r="P1070" s="8"/>
      <c r="Q1070" s="8"/>
      <c r="R1070" s="8"/>
      <c r="S1070" s="8"/>
      <c r="T1070" s="8"/>
      <c r="U1070" s="8"/>
      <c r="V1070" s="8"/>
      <c r="W1070" s="8"/>
      <c r="X1070" s="8"/>
      <c r="Y1070" s="8"/>
      <c r="Z1070" s="8"/>
    </row>
    <row r="1071" spans="1:26" s="9" customFormat="1" ht="15.75">
      <c r="A1071" s="56" t="s">
        <v>112</v>
      </c>
      <c r="B1071" s="22">
        <f t="shared" ref="B1071:G1071" si="1361">IF(B1070=0,"",B1070/B$1676)</f>
        <v>0.25806451612903225</v>
      </c>
      <c r="C1071" s="22">
        <f t="shared" si="1361"/>
        <v>0.5</v>
      </c>
      <c r="D1071" s="22">
        <f t="shared" si="1361"/>
        <v>0.29032258064516131</v>
      </c>
      <c r="E1071" s="22">
        <f t="shared" si="1361"/>
        <v>0.3</v>
      </c>
      <c r="F1071" s="22">
        <f t="shared" si="1361"/>
        <v>0.4838709677419355</v>
      </c>
      <c r="G1071" s="22">
        <f t="shared" si="1361"/>
        <v>0.6333333333333333</v>
      </c>
      <c r="H1071" s="22">
        <f t="shared" ref="H1071:I1071" si="1362">IF(H1070=0,"",H1070/H$1676)</f>
        <v>0.32258064516129031</v>
      </c>
      <c r="I1071" s="22">
        <f t="shared" si="1362"/>
        <v>0.58064516129032262</v>
      </c>
      <c r="J1071" s="22">
        <f t="shared" ref="J1071:K1071" si="1363">IF(J1070=0,"",J1070/J$1676)</f>
        <v>0.4</v>
      </c>
      <c r="K1071" s="22">
        <f t="shared" si="1363"/>
        <v>0.87096774193548387</v>
      </c>
      <c r="L1071" s="22">
        <f t="shared" ref="L1071:M1071" si="1364">IF(L1070=0,"",L1070/L$1676)</f>
        <v>0.66666666666666663</v>
      </c>
      <c r="M1071" s="22">
        <f t="shared" si="1364"/>
        <v>0.58064516129032262</v>
      </c>
      <c r="N1071" s="128">
        <f>SUM(B1071:M1071)</f>
        <v>5.8870967741935489</v>
      </c>
      <c r="O1071" s="22">
        <f>IF(N1071=0,0,AVERAGE(B1071:M1071))</f>
        <v>0.49059139784946243</v>
      </c>
      <c r="P1071" s="8"/>
      <c r="Q1071" s="8"/>
      <c r="R1071" s="8"/>
      <c r="S1071" s="8"/>
      <c r="T1071" s="8"/>
      <c r="U1071" s="8"/>
      <c r="V1071" s="8"/>
      <c r="W1071" s="8"/>
      <c r="X1071" s="8"/>
      <c r="Y1071" s="8"/>
      <c r="Z1071" s="8"/>
    </row>
    <row r="1072" spans="1:26" s="9" customFormat="1" ht="15.75">
      <c r="A1072" s="317"/>
      <c r="B1072" s="318"/>
      <c r="C1072" s="318"/>
      <c r="D1072" s="318"/>
      <c r="E1072" s="318"/>
      <c r="F1072" s="318"/>
      <c r="G1072" s="318"/>
      <c r="H1072" s="318"/>
      <c r="I1072" s="318"/>
      <c r="J1072" s="318"/>
      <c r="K1072" s="318"/>
      <c r="L1072" s="318"/>
      <c r="M1072" s="318"/>
      <c r="N1072" s="319"/>
      <c r="O1072" s="320"/>
      <c r="P1072" s="8"/>
      <c r="Q1072" s="8"/>
      <c r="R1072" s="8"/>
      <c r="S1072" s="8"/>
      <c r="T1072" s="8"/>
      <c r="U1072" s="8"/>
      <c r="V1072" s="8"/>
      <c r="W1072" s="8"/>
      <c r="X1072" s="8"/>
      <c r="Y1072" s="8"/>
      <c r="Z1072" s="8"/>
    </row>
    <row r="1073" spans="1:26" s="9" customFormat="1" ht="15.75">
      <c r="A1073" s="60" t="s">
        <v>766</v>
      </c>
      <c r="B1073" s="15"/>
      <c r="C1073" s="15"/>
      <c r="D1073" s="15"/>
      <c r="E1073" s="15"/>
      <c r="F1073" s="15"/>
      <c r="G1073" s="15"/>
      <c r="H1073" s="15"/>
      <c r="I1073" s="15"/>
      <c r="J1073" s="15"/>
      <c r="K1073" s="15"/>
      <c r="L1073" s="15"/>
      <c r="M1073" s="15"/>
      <c r="N1073" s="132"/>
      <c r="O1073" s="16"/>
      <c r="P1073" s="8"/>
      <c r="Q1073" s="8"/>
      <c r="R1073" s="8"/>
      <c r="S1073" s="8"/>
      <c r="T1073" s="8"/>
      <c r="U1073" s="8"/>
      <c r="V1073" s="8"/>
      <c r="W1073" s="8"/>
      <c r="X1073" s="8"/>
      <c r="Y1073" s="8"/>
      <c r="Z1073" s="8"/>
    </row>
    <row r="1074" spans="1:26" s="9" customFormat="1" ht="15.75">
      <c r="A1074" s="37" t="s">
        <v>18</v>
      </c>
      <c r="B1074" s="18">
        <v>4</v>
      </c>
      <c r="C1074" s="18">
        <v>9</v>
      </c>
      <c r="D1074" s="18">
        <v>3</v>
      </c>
      <c r="E1074" s="18">
        <v>0</v>
      </c>
      <c r="F1074" s="18">
        <v>7</v>
      </c>
      <c r="G1074" s="18">
        <v>5</v>
      </c>
      <c r="H1074" s="18">
        <v>4</v>
      </c>
      <c r="I1074" s="18">
        <v>7</v>
      </c>
      <c r="J1074" s="18">
        <v>8</v>
      </c>
      <c r="K1074" s="18">
        <v>9</v>
      </c>
      <c r="L1074" s="18">
        <v>4</v>
      </c>
      <c r="M1074" s="18">
        <v>8</v>
      </c>
      <c r="N1074" s="133">
        <f>SUM(B1074:M1074)</f>
        <v>68</v>
      </c>
      <c r="O1074" s="19">
        <f>IF(N1074=0,0,AVERAGE(B1074:M1074))</f>
        <v>5.666666666666667</v>
      </c>
      <c r="P1074" s="8"/>
      <c r="Q1074" s="8"/>
      <c r="R1074" s="8"/>
      <c r="S1074" s="8"/>
      <c r="T1074" s="8"/>
      <c r="U1074" s="8"/>
      <c r="V1074" s="8"/>
      <c r="W1074" s="8"/>
      <c r="X1074" s="8"/>
      <c r="Y1074" s="8"/>
      <c r="Z1074" s="8"/>
    </row>
    <row r="1075" spans="1:26" s="9" customFormat="1" ht="15.75">
      <c r="A1075" s="37" t="s">
        <v>19</v>
      </c>
      <c r="B1075" s="18">
        <v>3</v>
      </c>
      <c r="C1075" s="18">
        <v>4</v>
      </c>
      <c r="D1075" s="18">
        <v>6</v>
      </c>
      <c r="E1075" s="18">
        <v>9</v>
      </c>
      <c r="F1075" s="18">
        <v>8</v>
      </c>
      <c r="G1075" s="18">
        <v>14</v>
      </c>
      <c r="H1075" s="18">
        <v>6</v>
      </c>
      <c r="I1075" s="18">
        <v>10</v>
      </c>
      <c r="J1075" s="18">
        <v>4</v>
      </c>
      <c r="K1075" s="18">
        <v>18</v>
      </c>
      <c r="L1075" s="18">
        <v>15</v>
      </c>
      <c r="M1075" s="18">
        <v>10</v>
      </c>
      <c r="N1075" s="133">
        <f>SUM(B1075:M1075)</f>
        <v>107</v>
      </c>
      <c r="O1075" s="19">
        <f>IF(N1075=0,0,AVERAGE(B1075:M1075))</f>
        <v>8.9166666666666661</v>
      </c>
      <c r="P1075" s="8"/>
      <c r="Q1075" s="8"/>
      <c r="R1075" s="8"/>
      <c r="S1075" s="8"/>
      <c r="T1075" s="8"/>
      <c r="U1075" s="8"/>
      <c r="V1075" s="8"/>
      <c r="W1075" s="8"/>
      <c r="X1075" s="8"/>
      <c r="Y1075" s="8"/>
      <c r="Z1075" s="8"/>
    </row>
    <row r="1076" spans="1:26" s="9" customFormat="1" ht="15.75">
      <c r="A1076" s="37" t="s">
        <v>20</v>
      </c>
      <c r="B1076" s="18">
        <v>1</v>
      </c>
      <c r="C1076" s="18">
        <v>1</v>
      </c>
      <c r="D1076" s="18">
        <v>0</v>
      </c>
      <c r="E1076" s="18">
        <v>0</v>
      </c>
      <c r="F1076" s="81">
        <v>0</v>
      </c>
      <c r="G1076" s="18">
        <v>0</v>
      </c>
      <c r="H1076" s="18">
        <v>0</v>
      </c>
      <c r="I1076" s="18">
        <v>1</v>
      </c>
      <c r="J1076" s="18">
        <v>0</v>
      </c>
      <c r="K1076" s="18">
        <v>0</v>
      </c>
      <c r="L1076" s="18">
        <v>1</v>
      </c>
      <c r="M1076" s="18">
        <v>0</v>
      </c>
      <c r="N1076" s="133">
        <f>SUM(B1076:M1076)</f>
        <v>4</v>
      </c>
      <c r="O1076" s="19">
        <f>IF(N1076=0,0,AVERAGE(B1076:M1076))</f>
        <v>0.33333333333333331</v>
      </c>
      <c r="P1076" s="8"/>
      <c r="Q1076" s="8"/>
      <c r="R1076" s="8"/>
      <c r="S1076" s="8"/>
      <c r="T1076" s="8"/>
      <c r="U1076" s="8"/>
      <c r="V1076" s="8"/>
      <c r="W1076" s="8"/>
      <c r="X1076" s="8"/>
      <c r="Y1076" s="8"/>
      <c r="Z1076" s="8"/>
    </row>
    <row r="1077" spans="1:26" s="9" customFormat="1" ht="15.75">
      <c r="A1077" s="56" t="s">
        <v>21</v>
      </c>
      <c r="B1077" s="21">
        <f t="shared" ref="B1077:C1077" si="1365">SUM(B1074:B1076)</f>
        <v>8</v>
      </c>
      <c r="C1077" s="21">
        <f t="shared" si="1365"/>
        <v>14</v>
      </c>
      <c r="D1077" s="21">
        <f t="shared" ref="D1077:E1077" si="1366">SUM(D1074:D1076)</f>
        <v>9</v>
      </c>
      <c r="E1077" s="21">
        <f t="shared" si="1366"/>
        <v>9</v>
      </c>
      <c r="F1077" s="21">
        <f t="shared" ref="F1077:G1077" si="1367">SUM(F1074:F1076)</f>
        <v>15</v>
      </c>
      <c r="G1077" s="21">
        <f t="shared" si="1367"/>
        <v>19</v>
      </c>
      <c r="H1077" s="21">
        <f t="shared" ref="H1077:I1077" si="1368">SUM(H1074:H1076)</f>
        <v>10</v>
      </c>
      <c r="I1077" s="21">
        <f t="shared" si="1368"/>
        <v>18</v>
      </c>
      <c r="J1077" s="21">
        <f t="shared" ref="J1077:K1077" si="1369">SUM(J1074:J1076)</f>
        <v>12</v>
      </c>
      <c r="K1077" s="21">
        <f t="shared" si="1369"/>
        <v>27</v>
      </c>
      <c r="L1077" s="21">
        <f t="shared" ref="L1077:M1077" si="1370">SUM(L1074:L1076)</f>
        <v>20</v>
      </c>
      <c r="M1077" s="21">
        <f t="shared" si="1370"/>
        <v>18</v>
      </c>
      <c r="N1077" s="128">
        <f>SUM(N1074:N1076)</f>
        <v>179</v>
      </c>
      <c r="O1077" s="22">
        <f>SUM(O1074:O1076)</f>
        <v>14.916666666666666</v>
      </c>
      <c r="P1077" s="8"/>
      <c r="Q1077" s="8"/>
      <c r="R1077" s="8"/>
      <c r="S1077" s="8"/>
      <c r="T1077" s="8"/>
      <c r="U1077" s="8"/>
      <c r="V1077" s="8"/>
      <c r="W1077" s="8"/>
      <c r="X1077" s="8"/>
      <c r="Y1077" s="8"/>
      <c r="Z1077" s="8"/>
    </row>
    <row r="1078" spans="1:26" s="9" customFormat="1" ht="15.75">
      <c r="A1078" s="56" t="s">
        <v>112</v>
      </c>
      <c r="B1078" s="22">
        <f t="shared" ref="B1078:G1078" si="1371">IF(B1077=0,"",B1077/B$1676)</f>
        <v>0.25806451612903225</v>
      </c>
      <c r="C1078" s="22">
        <f t="shared" si="1371"/>
        <v>0.5</v>
      </c>
      <c r="D1078" s="22">
        <f t="shared" si="1371"/>
        <v>0.29032258064516131</v>
      </c>
      <c r="E1078" s="22">
        <f t="shared" si="1371"/>
        <v>0.3</v>
      </c>
      <c r="F1078" s="22">
        <f t="shared" si="1371"/>
        <v>0.4838709677419355</v>
      </c>
      <c r="G1078" s="22">
        <f t="shared" si="1371"/>
        <v>0.6333333333333333</v>
      </c>
      <c r="H1078" s="22">
        <f t="shared" ref="H1078:I1078" si="1372">IF(H1077=0,"",H1077/H$1676)</f>
        <v>0.32258064516129031</v>
      </c>
      <c r="I1078" s="22">
        <f t="shared" si="1372"/>
        <v>0.58064516129032262</v>
      </c>
      <c r="J1078" s="22">
        <f t="shared" ref="J1078:K1078" si="1373">IF(J1077=0,"",J1077/J$1676)</f>
        <v>0.4</v>
      </c>
      <c r="K1078" s="22">
        <f t="shared" si="1373"/>
        <v>0.87096774193548387</v>
      </c>
      <c r="L1078" s="22">
        <f t="shared" ref="L1078:M1078" si="1374">IF(L1077=0,"",L1077/L$1676)</f>
        <v>0.66666666666666663</v>
      </c>
      <c r="M1078" s="22">
        <f t="shared" si="1374"/>
        <v>0.58064516129032262</v>
      </c>
      <c r="N1078" s="128">
        <f>SUM(B1078:M1078)</f>
        <v>5.8870967741935489</v>
      </c>
      <c r="O1078" s="22">
        <f>IF(N1078=0,0,AVERAGE(B1078:M1078))</f>
        <v>0.49059139784946243</v>
      </c>
      <c r="P1078" s="8"/>
      <c r="Q1078" s="8"/>
      <c r="R1078" s="8"/>
      <c r="S1078" s="8"/>
      <c r="T1078" s="8"/>
      <c r="U1078" s="8"/>
      <c r="V1078" s="8"/>
      <c r="W1078" s="8"/>
      <c r="X1078" s="8"/>
      <c r="Y1078" s="8"/>
      <c r="Z1078" s="8"/>
    </row>
    <row r="1079" spans="1:26" s="9" customFormat="1" ht="15.75">
      <c r="A1079" s="317"/>
      <c r="B1079" s="318"/>
      <c r="C1079" s="318"/>
      <c r="D1079" s="318"/>
      <c r="E1079" s="318"/>
      <c r="F1079" s="318"/>
      <c r="G1079" s="318"/>
      <c r="H1079" s="318"/>
      <c r="I1079" s="318"/>
      <c r="J1079" s="318"/>
      <c r="K1079" s="318"/>
      <c r="L1079" s="318"/>
      <c r="M1079" s="318"/>
      <c r="N1079" s="319"/>
      <c r="O1079" s="320"/>
      <c r="P1079" s="8"/>
      <c r="Q1079" s="8"/>
      <c r="R1079" s="8"/>
      <c r="S1079" s="8"/>
      <c r="T1079" s="8"/>
      <c r="U1079" s="8"/>
      <c r="V1079" s="8"/>
      <c r="W1079" s="8"/>
      <c r="X1079" s="8"/>
      <c r="Y1079" s="8"/>
      <c r="Z1079" s="8"/>
    </row>
    <row r="1080" spans="1:26" s="9" customFormat="1" ht="15.75">
      <c r="A1080" s="60" t="s">
        <v>767</v>
      </c>
      <c r="B1080" s="75"/>
      <c r="C1080" s="75"/>
      <c r="D1080" s="75"/>
      <c r="E1080" s="75"/>
      <c r="F1080" s="75"/>
      <c r="G1080" s="75"/>
      <c r="H1080" s="75"/>
      <c r="I1080" s="75"/>
      <c r="J1080" s="75"/>
      <c r="K1080" s="75"/>
      <c r="L1080" s="75"/>
      <c r="M1080" s="75"/>
      <c r="N1080" s="146"/>
      <c r="O1080" s="76"/>
      <c r="P1080" s="8"/>
      <c r="Q1080" s="8"/>
      <c r="R1080" s="8"/>
      <c r="S1080" s="8"/>
      <c r="T1080" s="8"/>
      <c r="U1080" s="8"/>
      <c r="V1080" s="8"/>
      <c r="W1080" s="8"/>
      <c r="X1080" s="8"/>
      <c r="Y1080" s="8"/>
      <c r="Z1080" s="8"/>
    </row>
    <row r="1081" spans="1:26" s="9" customFormat="1" ht="15.75">
      <c r="A1081" s="324" t="s">
        <v>594</v>
      </c>
      <c r="B1081" s="325">
        <v>1</v>
      </c>
      <c r="C1081" s="325">
        <v>3</v>
      </c>
      <c r="D1081" s="325">
        <v>0</v>
      </c>
      <c r="E1081" s="325">
        <v>4</v>
      </c>
      <c r="F1081" s="325">
        <v>0</v>
      </c>
      <c r="G1081" s="325">
        <v>2</v>
      </c>
      <c r="H1081" s="325">
        <v>1</v>
      </c>
      <c r="I1081" s="325">
        <v>2</v>
      </c>
      <c r="J1081" s="325">
        <v>3</v>
      </c>
      <c r="K1081" s="422">
        <v>0</v>
      </c>
      <c r="L1081" s="325">
        <v>0</v>
      </c>
      <c r="M1081" s="325">
        <v>3</v>
      </c>
      <c r="N1081" s="133">
        <f>SUM(B1081:M1081)</f>
        <v>19</v>
      </c>
      <c r="O1081" s="19">
        <f>IF(N1081=0,0,AVERAGE(B1081:M1081))</f>
        <v>1.5833333333333333</v>
      </c>
      <c r="P1081" s="8"/>
      <c r="Q1081" s="8"/>
      <c r="R1081" s="8"/>
      <c r="S1081" s="8"/>
      <c r="T1081" s="8"/>
      <c r="U1081" s="8"/>
      <c r="V1081" s="8"/>
      <c r="W1081" s="8"/>
      <c r="X1081" s="8"/>
      <c r="Y1081" s="8"/>
      <c r="Z1081" s="8"/>
    </row>
    <row r="1082" spans="1:26" s="9" customFormat="1" ht="15.75">
      <c r="A1082" s="324" t="s">
        <v>596</v>
      </c>
      <c r="B1082" s="325">
        <v>12</v>
      </c>
      <c r="C1082" s="325">
        <v>10</v>
      </c>
      <c r="D1082" s="325">
        <v>9</v>
      </c>
      <c r="E1082" s="325">
        <v>8</v>
      </c>
      <c r="F1082" s="325">
        <v>7</v>
      </c>
      <c r="G1082" s="325">
        <v>13</v>
      </c>
      <c r="H1082" s="325">
        <v>14</v>
      </c>
      <c r="I1082" s="325">
        <v>19</v>
      </c>
      <c r="J1082" s="325">
        <v>13</v>
      </c>
      <c r="K1082" s="422">
        <v>18</v>
      </c>
      <c r="L1082" s="325">
        <v>13</v>
      </c>
      <c r="M1082" s="325">
        <v>14</v>
      </c>
      <c r="N1082" s="133">
        <f t="shared" ref="N1082:N1090" si="1375">SUM(B1082:M1082)</f>
        <v>150</v>
      </c>
      <c r="O1082" s="19">
        <f t="shared" ref="O1082:O1090" si="1376">IF(N1082=0,0,AVERAGE(B1082:M1082))</f>
        <v>12.5</v>
      </c>
      <c r="P1082" s="8"/>
      <c r="Q1082" s="8"/>
      <c r="R1082" s="8"/>
      <c r="S1082" s="8"/>
      <c r="T1082" s="8"/>
      <c r="U1082" s="8"/>
      <c r="V1082" s="8"/>
      <c r="W1082" s="8"/>
      <c r="X1082" s="8"/>
      <c r="Y1082" s="8"/>
      <c r="Z1082" s="8"/>
    </row>
    <row r="1083" spans="1:26" s="9" customFormat="1" ht="15.75">
      <c r="A1083" s="324" t="s">
        <v>595</v>
      </c>
      <c r="B1083" s="325">
        <v>2</v>
      </c>
      <c r="C1083" s="325">
        <v>1</v>
      </c>
      <c r="D1083" s="325">
        <v>2</v>
      </c>
      <c r="E1083" s="325">
        <v>1</v>
      </c>
      <c r="F1083" s="325">
        <v>2</v>
      </c>
      <c r="G1083" s="325">
        <v>5</v>
      </c>
      <c r="H1083" s="325">
        <v>2</v>
      </c>
      <c r="I1083" s="325">
        <v>4</v>
      </c>
      <c r="J1083" s="325">
        <v>5</v>
      </c>
      <c r="K1083" s="325">
        <v>6</v>
      </c>
      <c r="L1083" s="325">
        <v>10</v>
      </c>
      <c r="M1083" s="325">
        <v>3</v>
      </c>
      <c r="N1083" s="133">
        <f t="shared" si="1375"/>
        <v>43</v>
      </c>
      <c r="O1083" s="19">
        <f t="shared" si="1376"/>
        <v>3.5833333333333335</v>
      </c>
      <c r="P1083" s="8"/>
      <c r="Q1083" s="8"/>
      <c r="R1083" s="8"/>
      <c r="S1083" s="8"/>
      <c r="T1083" s="8"/>
      <c r="U1083" s="8"/>
      <c r="V1083" s="8"/>
      <c r="W1083" s="8"/>
      <c r="X1083" s="8"/>
      <c r="Y1083" s="8"/>
      <c r="Z1083" s="8"/>
    </row>
    <row r="1084" spans="1:26" s="9" customFormat="1" ht="15.75">
      <c r="A1084" s="324" t="s">
        <v>597</v>
      </c>
      <c r="B1084" s="325">
        <v>1</v>
      </c>
      <c r="C1084" s="325">
        <v>2</v>
      </c>
      <c r="D1084" s="325">
        <v>2</v>
      </c>
      <c r="E1084" s="325">
        <v>3</v>
      </c>
      <c r="F1084" s="325">
        <v>2</v>
      </c>
      <c r="G1084" s="325">
        <v>1</v>
      </c>
      <c r="H1084" s="325">
        <v>7</v>
      </c>
      <c r="I1084" s="325">
        <v>5</v>
      </c>
      <c r="J1084" s="325">
        <v>6</v>
      </c>
      <c r="K1084" s="325">
        <v>6</v>
      </c>
      <c r="L1084" s="325">
        <v>9</v>
      </c>
      <c r="M1084" s="325">
        <v>5</v>
      </c>
      <c r="N1084" s="133">
        <f t="shared" si="1375"/>
        <v>49</v>
      </c>
      <c r="O1084" s="19">
        <f t="shared" si="1376"/>
        <v>4.083333333333333</v>
      </c>
      <c r="P1084" s="8"/>
      <c r="Q1084" s="8"/>
      <c r="R1084" s="8"/>
      <c r="S1084" s="8"/>
      <c r="T1084" s="8"/>
      <c r="U1084" s="8"/>
      <c r="V1084" s="8"/>
      <c r="W1084" s="8"/>
      <c r="X1084" s="8"/>
      <c r="Y1084" s="8"/>
      <c r="Z1084" s="8"/>
    </row>
    <row r="1085" spans="1:26" s="9" customFormat="1" ht="15.75">
      <c r="A1085" s="324" t="s">
        <v>379</v>
      </c>
      <c r="B1085" s="325">
        <v>0</v>
      </c>
      <c r="C1085" s="325">
        <v>0</v>
      </c>
      <c r="D1085" s="325">
        <v>0</v>
      </c>
      <c r="E1085" s="325">
        <v>0</v>
      </c>
      <c r="F1085" s="325">
        <v>1</v>
      </c>
      <c r="G1085" s="325">
        <v>0</v>
      </c>
      <c r="H1085" s="325">
        <v>0</v>
      </c>
      <c r="I1085" s="325">
        <v>0</v>
      </c>
      <c r="J1085" s="325">
        <v>1</v>
      </c>
      <c r="K1085" s="325">
        <v>0</v>
      </c>
      <c r="L1085" s="325">
        <v>1</v>
      </c>
      <c r="M1085" s="325">
        <v>1</v>
      </c>
      <c r="N1085" s="133">
        <f t="shared" si="1375"/>
        <v>4</v>
      </c>
      <c r="O1085" s="19">
        <f t="shared" si="1376"/>
        <v>0.33333333333333331</v>
      </c>
      <c r="P1085" s="8"/>
      <c r="Q1085" s="8"/>
      <c r="R1085" s="8"/>
      <c r="S1085" s="8"/>
      <c r="T1085" s="8"/>
      <c r="U1085" s="8"/>
      <c r="V1085" s="8"/>
      <c r="W1085" s="8"/>
      <c r="X1085" s="8"/>
      <c r="Y1085" s="8"/>
      <c r="Z1085" s="8"/>
    </row>
    <row r="1086" spans="1:26" s="9" customFormat="1" ht="15.75">
      <c r="A1086" s="324" t="s">
        <v>159</v>
      </c>
      <c r="B1086" s="325">
        <v>4</v>
      </c>
      <c r="C1086" s="325">
        <v>6</v>
      </c>
      <c r="D1086" s="325">
        <v>7</v>
      </c>
      <c r="E1086" s="325">
        <v>5</v>
      </c>
      <c r="F1086" s="325">
        <v>2</v>
      </c>
      <c r="G1086" s="325">
        <v>0</v>
      </c>
      <c r="H1086" s="325">
        <v>3</v>
      </c>
      <c r="I1086" s="325">
        <v>6</v>
      </c>
      <c r="J1086" s="325">
        <v>5</v>
      </c>
      <c r="K1086" s="325">
        <v>2</v>
      </c>
      <c r="L1086" s="325">
        <v>7</v>
      </c>
      <c r="M1086" s="325">
        <v>5</v>
      </c>
      <c r="N1086" s="133">
        <f t="shared" si="1375"/>
        <v>52</v>
      </c>
      <c r="O1086" s="19">
        <f t="shared" si="1376"/>
        <v>4.333333333333333</v>
      </c>
      <c r="P1086" s="8"/>
      <c r="Q1086" s="8"/>
      <c r="R1086" s="8"/>
      <c r="S1086" s="8"/>
      <c r="T1086" s="8"/>
      <c r="U1086" s="8"/>
      <c r="V1086" s="8"/>
      <c r="W1086" s="8"/>
      <c r="X1086" s="8"/>
      <c r="Y1086" s="8"/>
      <c r="Z1086" s="8"/>
    </row>
    <row r="1087" spans="1:26" s="9" customFormat="1" ht="15.75">
      <c r="A1087" s="324" t="s">
        <v>598</v>
      </c>
      <c r="B1087" s="325">
        <v>3</v>
      </c>
      <c r="C1087" s="325">
        <v>3</v>
      </c>
      <c r="D1087" s="325">
        <v>3</v>
      </c>
      <c r="E1087" s="325">
        <v>8</v>
      </c>
      <c r="F1087" s="325">
        <v>10</v>
      </c>
      <c r="G1087" s="325">
        <v>11</v>
      </c>
      <c r="H1087" s="325">
        <v>10</v>
      </c>
      <c r="I1087" s="325">
        <v>10</v>
      </c>
      <c r="J1087" s="325">
        <v>7</v>
      </c>
      <c r="K1087" s="325">
        <v>5</v>
      </c>
      <c r="L1087" s="325">
        <v>14</v>
      </c>
      <c r="M1087" s="325">
        <v>17</v>
      </c>
      <c r="N1087" s="133">
        <f t="shared" si="1375"/>
        <v>101</v>
      </c>
      <c r="O1087" s="19">
        <f t="shared" si="1376"/>
        <v>8.4166666666666661</v>
      </c>
      <c r="P1087" s="8"/>
      <c r="Q1087" s="8"/>
      <c r="R1087" s="8"/>
      <c r="S1087" s="8"/>
      <c r="T1087" s="8"/>
      <c r="U1087" s="8"/>
      <c r="V1087" s="8"/>
      <c r="W1087" s="8"/>
      <c r="X1087" s="8"/>
      <c r="Y1087" s="8"/>
      <c r="Z1087" s="8"/>
    </row>
    <row r="1088" spans="1:26" s="9" customFormat="1" ht="15.75">
      <c r="A1088" s="324" t="s">
        <v>599</v>
      </c>
      <c r="B1088" s="325">
        <v>11</v>
      </c>
      <c r="C1088" s="325">
        <v>3</v>
      </c>
      <c r="D1088" s="325">
        <v>1</v>
      </c>
      <c r="E1088" s="325">
        <v>1</v>
      </c>
      <c r="F1088" s="325">
        <v>9</v>
      </c>
      <c r="G1088" s="325">
        <v>9</v>
      </c>
      <c r="H1088" s="325">
        <v>10</v>
      </c>
      <c r="I1088" s="325">
        <v>16</v>
      </c>
      <c r="J1088" s="325">
        <v>7</v>
      </c>
      <c r="K1088" s="325">
        <v>13</v>
      </c>
      <c r="L1088" s="325">
        <v>17</v>
      </c>
      <c r="M1088" s="325">
        <v>8</v>
      </c>
      <c r="N1088" s="133">
        <f t="shared" si="1375"/>
        <v>105</v>
      </c>
      <c r="O1088" s="19">
        <f t="shared" si="1376"/>
        <v>8.75</v>
      </c>
      <c r="P1088" s="8"/>
      <c r="Q1088" s="8"/>
      <c r="R1088" s="8"/>
      <c r="S1088" s="8"/>
      <c r="T1088" s="8"/>
      <c r="U1088" s="8"/>
      <c r="V1088" s="8"/>
      <c r="W1088" s="8"/>
      <c r="X1088" s="8"/>
      <c r="Y1088" s="8"/>
      <c r="Z1088" s="8"/>
    </row>
    <row r="1089" spans="1:26" s="9" customFormat="1" ht="15.75">
      <c r="A1089" s="324" t="s">
        <v>600</v>
      </c>
      <c r="B1089" s="325">
        <v>4</v>
      </c>
      <c r="C1089" s="325">
        <v>6</v>
      </c>
      <c r="D1089" s="325">
        <v>6</v>
      </c>
      <c r="E1089" s="325">
        <v>2</v>
      </c>
      <c r="F1089" s="325">
        <v>10</v>
      </c>
      <c r="G1089" s="325">
        <v>5</v>
      </c>
      <c r="H1089" s="325">
        <v>3</v>
      </c>
      <c r="I1089" s="325">
        <v>8</v>
      </c>
      <c r="J1089" s="325">
        <v>5</v>
      </c>
      <c r="K1089" s="325">
        <v>5</v>
      </c>
      <c r="L1089" s="325">
        <v>7</v>
      </c>
      <c r="M1089" s="325">
        <v>5</v>
      </c>
      <c r="N1089" s="133">
        <f t="shared" si="1375"/>
        <v>66</v>
      </c>
      <c r="O1089" s="19">
        <f t="shared" si="1376"/>
        <v>5.5</v>
      </c>
      <c r="P1089" s="8"/>
      <c r="Q1089" s="8"/>
      <c r="R1089" s="8"/>
      <c r="S1089" s="8"/>
      <c r="T1089" s="8"/>
      <c r="U1089" s="8"/>
      <c r="V1089" s="8"/>
      <c r="W1089" s="8"/>
      <c r="X1089" s="8"/>
      <c r="Y1089" s="8"/>
      <c r="Z1089" s="8"/>
    </row>
    <row r="1090" spans="1:26" s="9" customFormat="1" ht="15.75">
      <c r="A1090" s="324" t="s">
        <v>601</v>
      </c>
      <c r="B1090" s="325">
        <v>4</v>
      </c>
      <c r="C1090" s="325">
        <v>9</v>
      </c>
      <c r="D1090" s="325">
        <v>7</v>
      </c>
      <c r="E1090" s="325">
        <v>6</v>
      </c>
      <c r="F1090" s="325">
        <v>7</v>
      </c>
      <c r="G1090" s="325">
        <v>11</v>
      </c>
      <c r="H1090" s="325">
        <v>2</v>
      </c>
      <c r="I1090" s="325">
        <v>0</v>
      </c>
      <c r="J1090" s="325">
        <v>17</v>
      </c>
      <c r="K1090" s="325">
        <v>15</v>
      </c>
      <c r="L1090" s="325">
        <v>11</v>
      </c>
      <c r="M1090" s="325">
        <v>5</v>
      </c>
      <c r="N1090" s="133">
        <f t="shared" si="1375"/>
        <v>94</v>
      </c>
      <c r="O1090" s="19">
        <f t="shared" si="1376"/>
        <v>7.833333333333333</v>
      </c>
      <c r="P1090" s="8"/>
      <c r="Q1090" s="8"/>
      <c r="R1090" s="8"/>
      <c r="S1090" s="8"/>
      <c r="T1090" s="8"/>
      <c r="U1090" s="8"/>
      <c r="V1090" s="8"/>
      <c r="W1090" s="8"/>
      <c r="X1090" s="8"/>
      <c r="Y1090" s="8"/>
      <c r="Z1090" s="8"/>
    </row>
    <row r="1091" spans="1:26" s="9" customFormat="1" ht="15.75">
      <c r="A1091" s="324" t="s">
        <v>22</v>
      </c>
      <c r="B1091" s="325">
        <v>0</v>
      </c>
      <c r="C1091" s="325">
        <v>0</v>
      </c>
      <c r="D1091" s="325">
        <v>0</v>
      </c>
      <c r="E1091" s="325">
        <v>0</v>
      </c>
      <c r="F1091" s="325">
        <v>0</v>
      </c>
      <c r="G1091" s="325">
        <v>0</v>
      </c>
      <c r="H1091" s="325">
        <v>0</v>
      </c>
      <c r="I1091" s="325">
        <v>0</v>
      </c>
      <c r="J1091" s="325">
        <v>1</v>
      </c>
      <c r="K1091" s="325">
        <v>0</v>
      </c>
      <c r="L1091" s="325">
        <v>0</v>
      </c>
      <c r="M1091" s="325">
        <v>0</v>
      </c>
      <c r="N1091" s="133">
        <f t="shared" ref="N1091" si="1377">SUM(B1091:M1091)</f>
        <v>1</v>
      </c>
      <c r="O1091" s="19">
        <f t="shared" ref="O1091" si="1378">IF(N1091=0,0,AVERAGE(B1091:M1091))</f>
        <v>8.3333333333333329E-2</v>
      </c>
      <c r="P1091" s="8"/>
      <c r="Q1091" s="8"/>
      <c r="R1091" s="8"/>
      <c r="S1091" s="8"/>
      <c r="T1091" s="8"/>
      <c r="U1091" s="8"/>
      <c r="V1091" s="8"/>
      <c r="W1091" s="8"/>
      <c r="X1091" s="8"/>
      <c r="Y1091" s="8"/>
      <c r="Z1091" s="8"/>
    </row>
    <row r="1092" spans="1:26" s="9" customFormat="1" ht="15.75">
      <c r="A1092" s="56" t="s">
        <v>21</v>
      </c>
      <c r="B1092" s="21">
        <f t="shared" ref="B1092:C1092" si="1379">SUM(B1081:B1091)</f>
        <v>42</v>
      </c>
      <c r="C1092" s="21">
        <f t="shared" si="1379"/>
        <v>43</v>
      </c>
      <c r="D1092" s="21">
        <f t="shared" ref="D1092:E1092" si="1380">SUM(D1081:D1091)</f>
        <v>37</v>
      </c>
      <c r="E1092" s="21">
        <f t="shared" si="1380"/>
        <v>38</v>
      </c>
      <c r="F1092" s="21">
        <f t="shared" ref="F1092:H1092" si="1381">SUM(F1081:F1091)</f>
        <v>50</v>
      </c>
      <c r="G1092" s="21">
        <f t="shared" si="1381"/>
        <v>57</v>
      </c>
      <c r="H1092" s="21">
        <f t="shared" si="1381"/>
        <v>52</v>
      </c>
      <c r="I1092" s="21">
        <f t="shared" ref="I1092:J1092" si="1382">SUM(I1081:I1091)</f>
        <v>70</v>
      </c>
      <c r="J1092" s="21">
        <f t="shared" si="1382"/>
        <v>70</v>
      </c>
      <c r="K1092" s="21">
        <f t="shared" ref="K1092:L1092" si="1383">SUM(K1081:K1091)</f>
        <v>70</v>
      </c>
      <c r="L1092" s="21">
        <f t="shared" si="1383"/>
        <v>89</v>
      </c>
      <c r="M1092" s="21">
        <f t="shared" ref="M1092" si="1384">SUM(M1081:M1091)</f>
        <v>66</v>
      </c>
      <c r="N1092" s="128">
        <f>SUM(N1077:N1090)</f>
        <v>867.88709677419354</v>
      </c>
      <c r="O1092" s="22">
        <f>SUM(O1077:O1090)</f>
        <v>72.3239247311828</v>
      </c>
      <c r="P1092" s="8"/>
      <c r="Q1092" s="8"/>
      <c r="R1092" s="8"/>
      <c r="S1092" s="8"/>
      <c r="T1092" s="8"/>
      <c r="U1092" s="8"/>
      <c r="V1092" s="8"/>
      <c r="W1092" s="8"/>
      <c r="X1092" s="8"/>
      <c r="Y1092" s="8"/>
      <c r="Z1092" s="8"/>
    </row>
    <row r="1093" spans="1:26" s="9" customFormat="1" ht="15.75">
      <c r="A1093" s="56" t="s">
        <v>112</v>
      </c>
      <c r="B1093" s="22">
        <f t="shared" ref="B1093:H1093" si="1385">IF(B1092=0,"",B1092/B$1676)</f>
        <v>1.3548387096774193</v>
      </c>
      <c r="C1093" s="22">
        <f t="shared" si="1385"/>
        <v>1.5357142857142858</v>
      </c>
      <c r="D1093" s="22">
        <f t="shared" si="1385"/>
        <v>1.1935483870967742</v>
      </c>
      <c r="E1093" s="22">
        <f t="shared" si="1385"/>
        <v>1.2666666666666666</v>
      </c>
      <c r="F1093" s="22">
        <f t="shared" si="1385"/>
        <v>1.6129032258064515</v>
      </c>
      <c r="G1093" s="22">
        <f t="shared" si="1385"/>
        <v>1.9</v>
      </c>
      <c r="H1093" s="22">
        <f t="shared" si="1385"/>
        <v>1.6774193548387097</v>
      </c>
      <c r="I1093" s="22">
        <f t="shared" ref="I1093:J1093" si="1386">IF(I1092=0,"",I1092/I$1676)</f>
        <v>2.2580645161290325</v>
      </c>
      <c r="J1093" s="22">
        <f t="shared" si="1386"/>
        <v>2.3333333333333335</v>
      </c>
      <c r="K1093" s="22">
        <f t="shared" ref="K1093:L1093" si="1387">IF(K1092=0,"",K1092/K$1676)</f>
        <v>2.2580645161290325</v>
      </c>
      <c r="L1093" s="22">
        <f t="shared" si="1387"/>
        <v>2.9666666666666668</v>
      </c>
      <c r="M1093" s="22">
        <f t="shared" ref="M1093" si="1388">IF(M1092=0,"",M1092/M$1676)</f>
        <v>2.129032258064516</v>
      </c>
      <c r="N1093" s="128">
        <f>SUM(B1093:M1093)</f>
        <v>22.486251920122893</v>
      </c>
      <c r="O1093" s="22">
        <f>IF(N1093=0,0,AVERAGE(B1093:M1093))</f>
        <v>1.8738543266769077</v>
      </c>
      <c r="P1093" s="8"/>
      <c r="Q1093" s="8"/>
      <c r="R1093" s="8"/>
      <c r="S1093" s="8"/>
      <c r="T1093" s="8"/>
      <c r="U1093" s="8"/>
      <c r="V1093" s="8"/>
      <c r="W1093" s="8"/>
      <c r="X1093" s="8"/>
      <c r="Y1093" s="8"/>
      <c r="Z1093" s="8"/>
    </row>
    <row r="1094" spans="1:26" s="9" customFormat="1">
      <c r="P1094" s="8"/>
      <c r="Q1094" s="8"/>
      <c r="R1094" s="8"/>
      <c r="S1094" s="8"/>
      <c r="T1094" s="8"/>
      <c r="U1094" s="8"/>
      <c r="V1094" s="8"/>
      <c r="W1094" s="8"/>
      <c r="X1094" s="8"/>
      <c r="Y1094" s="8"/>
      <c r="Z1094" s="8"/>
    </row>
    <row r="1095" spans="1:26" s="9" customFormat="1" ht="15.75">
      <c r="A1095" s="60" t="s">
        <v>768</v>
      </c>
      <c r="B1095" s="15"/>
      <c r="C1095" s="15"/>
      <c r="D1095" s="15"/>
      <c r="E1095" s="15"/>
      <c r="F1095" s="15"/>
      <c r="G1095" s="15"/>
      <c r="H1095" s="15"/>
      <c r="I1095" s="15"/>
      <c r="J1095" s="15"/>
      <c r="K1095" s="15"/>
      <c r="L1095" s="15"/>
      <c r="M1095" s="15"/>
      <c r="N1095" s="132"/>
      <c r="O1095" s="16"/>
      <c r="P1095" s="8"/>
      <c r="Q1095" s="8"/>
      <c r="R1095" s="8"/>
      <c r="S1095" s="8"/>
      <c r="T1095" s="8"/>
      <c r="U1095" s="8"/>
      <c r="V1095" s="8"/>
      <c r="W1095" s="8"/>
      <c r="X1095" s="8"/>
      <c r="Y1095" s="8"/>
      <c r="Z1095" s="8"/>
    </row>
    <row r="1096" spans="1:26" s="9" customFormat="1" ht="15.75">
      <c r="A1096" s="97" t="s">
        <v>114</v>
      </c>
      <c r="B1096" s="98">
        <f t="shared" ref="B1096:C1096" si="1389">B1092</f>
        <v>42</v>
      </c>
      <c r="C1096" s="98">
        <f t="shared" si="1389"/>
        <v>43</v>
      </c>
      <c r="D1096" s="98">
        <f t="shared" ref="D1096:E1096" si="1390">D1092</f>
        <v>37</v>
      </c>
      <c r="E1096" s="98">
        <f t="shared" si="1390"/>
        <v>38</v>
      </c>
      <c r="F1096" s="98">
        <f t="shared" ref="F1096:G1096" si="1391">F1092</f>
        <v>50</v>
      </c>
      <c r="G1096" s="98">
        <f t="shared" si="1391"/>
        <v>57</v>
      </c>
      <c r="H1096" s="98">
        <f t="shared" ref="H1096:I1096" si="1392">H1092</f>
        <v>52</v>
      </c>
      <c r="I1096" s="98">
        <f t="shared" si="1392"/>
        <v>70</v>
      </c>
      <c r="J1096" s="98">
        <f t="shared" ref="J1096:K1096" si="1393">J1092</f>
        <v>70</v>
      </c>
      <c r="K1096" s="98">
        <f t="shared" si="1393"/>
        <v>70</v>
      </c>
      <c r="L1096" s="98">
        <f t="shared" ref="L1096:M1096" si="1394">L1092</f>
        <v>89</v>
      </c>
      <c r="M1096" s="98">
        <f t="shared" si="1394"/>
        <v>66</v>
      </c>
      <c r="N1096" s="133">
        <f>SUM(B1096:M1096)</f>
        <v>684</v>
      </c>
      <c r="O1096" s="19">
        <f>IF(N1096=0,0,AVERAGE(B1096:M1096))</f>
        <v>57</v>
      </c>
      <c r="P1096" s="8"/>
      <c r="Q1096" s="8"/>
      <c r="R1096" s="8"/>
      <c r="S1096" s="8"/>
      <c r="T1096" s="8"/>
      <c r="U1096" s="8"/>
      <c r="V1096" s="8"/>
      <c r="W1096" s="8"/>
      <c r="X1096" s="8"/>
      <c r="Y1096" s="8"/>
      <c r="Z1096" s="8"/>
    </row>
    <row r="1097" spans="1:26" s="9" customFormat="1" ht="15.75">
      <c r="A1097" s="56" t="s">
        <v>21</v>
      </c>
      <c r="B1097" s="21">
        <f t="shared" ref="B1097:C1097" si="1395">SUM(B1096)</f>
        <v>42</v>
      </c>
      <c r="C1097" s="21">
        <f t="shared" si="1395"/>
        <v>43</v>
      </c>
      <c r="D1097" s="21">
        <f t="shared" ref="D1097:E1097" si="1396">SUM(D1096)</f>
        <v>37</v>
      </c>
      <c r="E1097" s="21">
        <f t="shared" si="1396"/>
        <v>38</v>
      </c>
      <c r="F1097" s="21">
        <f t="shared" ref="F1097:G1097" si="1397">SUM(F1096)</f>
        <v>50</v>
      </c>
      <c r="G1097" s="21">
        <f t="shared" si="1397"/>
        <v>57</v>
      </c>
      <c r="H1097" s="21">
        <f t="shared" ref="H1097:I1097" si="1398">SUM(H1096)</f>
        <v>52</v>
      </c>
      <c r="I1097" s="21">
        <f t="shared" si="1398"/>
        <v>70</v>
      </c>
      <c r="J1097" s="21">
        <f t="shared" ref="J1097:K1097" si="1399">SUM(J1096)</f>
        <v>70</v>
      </c>
      <c r="K1097" s="21">
        <f t="shared" si="1399"/>
        <v>70</v>
      </c>
      <c r="L1097" s="21">
        <f t="shared" ref="L1097:M1097" si="1400">SUM(L1096)</f>
        <v>89</v>
      </c>
      <c r="M1097" s="21">
        <f t="shared" si="1400"/>
        <v>66</v>
      </c>
      <c r="N1097" s="128">
        <f>SUM(N1096)</f>
        <v>684</v>
      </c>
      <c r="O1097" s="22">
        <f>SUM(O1096)</f>
        <v>57</v>
      </c>
      <c r="P1097" s="8"/>
      <c r="Q1097" s="8"/>
      <c r="R1097" s="8"/>
      <c r="S1097" s="8"/>
      <c r="T1097" s="8"/>
      <c r="U1097" s="8"/>
      <c r="V1097" s="8"/>
      <c r="W1097" s="8"/>
      <c r="X1097" s="8"/>
      <c r="Y1097" s="8"/>
      <c r="Z1097" s="8"/>
    </row>
    <row r="1098" spans="1:26" s="9" customFormat="1" ht="15.75">
      <c r="A1098" s="56" t="s">
        <v>112</v>
      </c>
      <c r="B1098" s="22">
        <f t="shared" ref="B1098:G1098" si="1401">IF(B1097=0,"",B1097/B$1676)</f>
        <v>1.3548387096774193</v>
      </c>
      <c r="C1098" s="22">
        <f t="shared" si="1401"/>
        <v>1.5357142857142858</v>
      </c>
      <c r="D1098" s="22">
        <f t="shared" si="1401"/>
        <v>1.1935483870967742</v>
      </c>
      <c r="E1098" s="22">
        <f t="shared" si="1401"/>
        <v>1.2666666666666666</v>
      </c>
      <c r="F1098" s="22">
        <f t="shared" si="1401"/>
        <v>1.6129032258064515</v>
      </c>
      <c r="G1098" s="22">
        <f t="shared" si="1401"/>
        <v>1.9</v>
      </c>
      <c r="H1098" s="22">
        <f t="shared" ref="H1098:I1098" si="1402">IF(H1097=0,"",H1097/H$1676)</f>
        <v>1.6774193548387097</v>
      </c>
      <c r="I1098" s="22">
        <f t="shared" si="1402"/>
        <v>2.2580645161290325</v>
      </c>
      <c r="J1098" s="22">
        <f t="shared" ref="J1098:K1098" si="1403">IF(J1097=0,"",J1097/J$1676)</f>
        <v>2.3333333333333335</v>
      </c>
      <c r="K1098" s="22">
        <f t="shared" si="1403"/>
        <v>2.2580645161290325</v>
      </c>
      <c r="L1098" s="22">
        <f t="shared" ref="L1098:M1098" si="1404">IF(L1097=0,"",L1097/L$1676)</f>
        <v>2.9666666666666668</v>
      </c>
      <c r="M1098" s="22">
        <f t="shared" si="1404"/>
        <v>2.129032258064516</v>
      </c>
      <c r="N1098" s="128">
        <f>SUM(B1098:M1098)</f>
        <v>22.486251920122893</v>
      </c>
      <c r="O1098" s="22">
        <f>IF(N1098=0,0,AVERAGE(B1098:M1098))</f>
        <v>1.8738543266769077</v>
      </c>
      <c r="P1098" s="8"/>
      <c r="Q1098" s="8"/>
      <c r="R1098" s="8"/>
      <c r="S1098" s="8"/>
      <c r="T1098" s="8"/>
      <c r="U1098" s="8"/>
      <c r="V1098" s="8"/>
      <c r="W1098" s="8"/>
      <c r="X1098" s="8"/>
      <c r="Y1098" s="8"/>
      <c r="Z1098" s="8"/>
    </row>
    <row r="1099" spans="1:26" s="9" customFormat="1" ht="15.75">
      <c r="A1099" s="94"/>
      <c r="B1099" s="24"/>
      <c r="C1099" s="24"/>
      <c r="D1099" s="24"/>
      <c r="E1099" s="24"/>
      <c r="F1099" s="24"/>
      <c r="G1099" s="24"/>
      <c r="H1099" s="24"/>
      <c r="I1099" s="24"/>
      <c r="J1099" s="24"/>
      <c r="K1099" s="24"/>
      <c r="L1099" s="24"/>
      <c r="M1099" s="24"/>
      <c r="N1099" s="134"/>
      <c r="O1099" s="54"/>
      <c r="P1099" s="8"/>
      <c r="Q1099" s="8"/>
      <c r="R1099" s="8"/>
      <c r="S1099" s="8"/>
      <c r="T1099" s="8"/>
      <c r="U1099" s="8"/>
      <c r="V1099" s="8"/>
      <c r="W1099" s="8"/>
      <c r="X1099" s="8"/>
      <c r="Y1099" s="8"/>
      <c r="Z1099" s="8"/>
    </row>
    <row r="1100" spans="1:26" s="9" customFormat="1" ht="15.75">
      <c r="A1100" s="85" t="s">
        <v>153</v>
      </c>
      <c r="B1100" s="86">
        <f t="shared" ref="B1100:G1100" si="1405">B1077</f>
        <v>8</v>
      </c>
      <c r="C1100" s="86">
        <f t="shared" si="1405"/>
        <v>14</v>
      </c>
      <c r="D1100" s="86">
        <f t="shared" si="1405"/>
        <v>9</v>
      </c>
      <c r="E1100" s="86">
        <f t="shared" si="1405"/>
        <v>9</v>
      </c>
      <c r="F1100" s="86">
        <f t="shared" si="1405"/>
        <v>15</v>
      </c>
      <c r="G1100" s="86">
        <f t="shared" si="1405"/>
        <v>19</v>
      </c>
      <c r="H1100" s="86">
        <f t="shared" ref="H1100:I1100" si="1406">H1077</f>
        <v>10</v>
      </c>
      <c r="I1100" s="86">
        <f t="shared" si="1406"/>
        <v>18</v>
      </c>
      <c r="J1100" s="86">
        <f t="shared" ref="J1100:K1100" si="1407">J1077</f>
        <v>12</v>
      </c>
      <c r="K1100" s="86">
        <f t="shared" si="1407"/>
        <v>27</v>
      </c>
      <c r="L1100" s="86">
        <f t="shared" ref="L1100:M1100" si="1408">L1077</f>
        <v>20</v>
      </c>
      <c r="M1100" s="86">
        <f t="shared" si="1408"/>
        <v>18</v>
      </c>
      <c r="N1100" s="133">
        <f>SUM(B1100:M1100)</f>
        <v>179</v>
      </c>
      <c r="O1100" s="19">
        <f>IF(N1100=0,0,AVERAGE(B1100:M1100))</f>
        <v>14.916666666666666</v>
      </c>
      <c r="P1100" s="8"/>
      <c r="Q1100" s="8"/>
      <c r="R1100" s="8"/>
      <c r="S1100" s="8"/>
      <c r="T1100" s="8"/>
      <c r="U1100" s="8"/>
      <c r="V1100" s="8"/>
      <c r="W1100" s="8"/>
      <c r="X1100" s="8"/>
      <c r="Y1100" s="8"/>
      <c r="Z1100" s="8"/>
    </row>
    <row r="1101" spans="1:26" s="9" customFormat="1" ht="15.75">
      <c r="A1101" s="85" t="s">
        <v>154</v>
      </c>
      <c r="B1101" s="86">
        <f t="shared" ref="B1101:G1101" si="1409">B1097</f>
        <v>42</v>
      </c>
      <c r="C1101" s="86">
        <f t="shared" si="1409"/>
        <v>43</v>
      </c>
      <c r="D1101" s="86">
        <f t="shared" si="1409"/>
        <v>37</v>
      </c>
      <c r="E1101" s="86">
        <f t="shared" si="1409"/>
        <v>38</v>
      </c>
      <c r="F1101" s="86">
        <f t="shared" si="1409"/>
        <v>50</v>
      </c>
      <c r="G1101" s="86">
        <f t="shared" si="1409"/>
        <v>57</v>
      </c>
      <c r="H1101" s="86">
        <f t="shared" ref="H1101:I1101" si="1410">H1097</f>
        <v>52</v>
      </c>
      <c r="I1101" s="86">
        <f t="shared" si="1410"/>
        <v>70</v>
      </c>
      <c r="J1101" s="86">
        <f t="shared" ref="J1101:K1101" si="1411">J1097</f>
        <v>70</v>
      </c>
      <c r="K1101" s="86">
        <f t="shared" si="1411"/>
        <v>70</v>
      </c>
      <c r="L1101" s="86">
        <f t="shared" ref="L1101:M1101" si="1412">L1097</f>
        <v>89</v>
      </c>
      <c r="M1101" s="86">
        <f t="shared" si="1412"/>
        <v>66</v>
      </c>
      <c r="N1101" s="133">
        <f>SUM(B1101:M1101)</f>
        <v>684</v>
      </c>
      <c r="O1101" s="19">
        <f>IF(N1101=0,0,AVERAGE(B1101:M1101))</f>
        <v>57</v>
      </c>
      <c r="P1101" s="8"/>
      <c r="Q1101" s="8"/>
      <c r="R1101" s="8"/>
      <c r="S1101" s="8"/>
      <c r="T1101" s="8"/>
      <c r="U1101" s="8"/>
      <c r="V1101" s="8"/>
      <c r="W1101" s="8"/>
      <c r="X1101" s="8"/>
      <c r="Y1101" s="8"/>
      <c r="Z1101" s="8"/>
    </row>
    <row r="1102" spans="1:26" s="9" customFormat="1" ht="15.75">
      <c r="A1102" s="342" t="s">
        <v>155</v>
      </c>
      <c r="B1102" s="333">
        <f t="shared" ref="B1102:G1102" si="1413">SUM(B1100:B1101)</f>
        <v>50</v>
      </c>
      <c r="C1102" s="333">
        <f t="shared" si="1413"/>
        <v>57</v>
      </c>
      <c r="D1102" s="333">
        <f t="shared" si="1413"/>
        <v>46</v>
      </c>
      <c r="E1102" s="333">
        <f t="shared" si="1413"/>
        <v>47</v>
      </c>
      <c r="F1102" s="333">
        <f t="shared" si="1413"/>
        <v>65</v>
      </c>
      <c r="G1102" s="333">
        <f t="shared" si="1413"/>
        <v>76</v>
      </c>
      <c r="H1102" s="333">
        <f t="shared" ref="H1102:I1102" si="1414">SUM(H1100:H1101)</f>
        <v>62</v>
      </c>
      <c r="I1102" s="333">
        <f t="shared" si="1414"/>
        <v>88</v>
      </c>
      <c r="J1102" s="333">
        <f t="shared" ref="J1102:K1102" si="1415">SUM(J1100:J1101)</f>
        <v>82</v>
      </c>
      <c r="K1102" s="333">
        <f t="shared" si="1415"/>
        <v>97</v>
      </c>
      <c r="L1102" s="333">
        <f t="shared" ref="L1102:M1102" si="1416">SUM(L1100:L1101)</f>
        <v>109</v>
      </c>
      <c r="M1102" s="333">
        <f t="shared" si="1416"/>
        <v>84</v>
      </c>
      <c r="N1102" s="334">
        <f>SUM(N1100:N1101)</f>
        <v>863</v>
      </c>
      <c r="O1102" s="335">
        <f>SUM(O1100:O1101)</f>
        <v>71.916666666666671</v>
      </c>
      <c r="P1102" s="8"/>
      <c r="Q1102" s="8"/>
      <c r="R1102" s="8"/>
      <c r="S1102" s="8"/>
      <c r="T1102" s="8"/>
      <c r="U1102" s="8"/>
      <c r="V1102" s="8"/>
      <c r="W1102" s="8"/>
      <c r="X1102" s="8"/>
      <c r="Y1102" s="8"/>
      <c r="Z1102" s="8"/>
    </row>
    <row r="1103" spans="1:26" s="9" customFormat="1" ht="15.75">
      <c r="A1103" s="82"/>
      <c r="B1103" s="83"/>
      <c r="C1103" s="83"/>
      <c r="D1103" s="83"/>
      <c r="E1103" s="83"/>
      <c r="F1103" s="83"/>
      <c r="G1103" s="83"/>
      <c r="H1103" s="83"/>
      <c r="I1103" s="83"/>
      <c r="J1103" s="83"/>
      <c r="K1103" s="83"/>
      <c r="L1103" s="83"/>
      <c r="M1103" s="83"/>
      <c r="N1103" s="148"/>
      <c r="O1103" s="84"/>
      <c r="P1103" s="8"/>
      <c r="Q1103" s="8"/>
      <c r="R1103" s="8"/>
      <c r="S1103" s="8"/>
      <c r="T1103" s="8"/>
      <c r="U1103" s="8"/>
      <c r="V1103" s="8"/>
      <c r="W1103" s="8"/>
      <c r="X1103" s="8"/>
      <c r="Y1103" s="8"/>
      <c r="Z1103" s="8"/>
    </row>
    <row r="1104" spans="1:26" s="9" customFormat="1" ht="15.75">
      <c r="A1104" s="361" t="s">
        <v>769</v>
      </c>
      <c r="B1104" s="353"/>
      <c r="C1104" s="353"/>
      <c r="D1104" s="353"/>
      <c r="E1104" s="353"/>
      <c r="F1104" s="353"/>
      <c r="G1104" s="353"/>
      <c r="H1104" s="353"/>
      <c r="I1104" s="353"/>
      <c r="J1104" s="353"/>
      <c r="K1104" s="353"/>
      <c r="L1104" s="353"/>
      <c r="M1104" s="353"/>
      <c r="N1104" s="354"/>
      <c r="O1104" s="355"/>
      <c r="P1104" s="105"/>
      <c r="Q1104" s="105"/>
      <c r="R1104" s="105"/>
      <c r="S1104" s="105"/>
      <c r="T1104" s="105"/>
      <c r="U1104" s="105"/>
      <c r="V1104" s="105"/>
      <c r="W1104" s="105"/>
      <c r="X1104" s="105"/>
      <c r="Y1104" s="105"/>
      <c r="Z1104" s="105"/>
    </row>
    <row r="1105" spans="1:26" s="9" customFormat="1" ht="15.75">
      <c r="A1105" s="356" t="s">
        <v>770</v>
      </c>
      <c r="B1105" s="353"/>
      <c r="C1105" s="353"/>
      <c r="D1105" s="353"/>
      <c r="E1105" s="353"/>
      <c r="F1105" s="353"/>
      <c r="G1105" s="353"/>
      <c r="H1105" s="353"/>
      <c r="I1105" s="353"/>
      <c r="J1105" s="353"/>
      <c r="K1105" s="353"/>
      <c r="L1105" s="353"/>
      <c r="M1105" s="353"/>
      <c r="N1105" s="354"/>
      <c r="O1105" s="355"/>
      <c r="P1105" s="8"/>
      <c r="Q1105" s="8"/>
      <c r="R1105" s="8"/>
      <c r="S1105" s="8"/>
      <c r="T1105" s="8"/>
      <c r="U1105" s="8"/>
      <c r="V1105" s="8"/>
      <c r="W1105" s="8"/>
      <c r="X1105" s="8"/>
      <c r="Y1105" s="8"/>
      <c r="Z1105" s="8"/>
    </row>
    <row r="1106" spans="1:26" s="9" customFormat="1" ht="15.75">
      <c r="A1106" s="29" t="s">
        <v>169</v>
      </c>
      <c r="B1106" s="18">
        <f t="shared" ref="B1106:C1118" si="1417">B1124+B1149</f>
        <v>39</v>
      </c>
      <c r="C1106" s="18">
        <f t="shared" si="1417"/>
        <v>32</v>
      </c>
      <c r="D1106" s="18">
        <f t="shared" ref="D1106:E1106" si="1418">D1124+D1149</f>
        <v>26</v>
      </c>
      <c r="E1106" s="18">
        <f t="shared" si="1418"/>
        <v>15</v>
      </c>
      <c r="F1106" s="18">
        <f t="shared" ref="F1106:G1106" si="1419">F1124+F1149</f>
        <v>44</v>
      </c>
      <c r="G1106" s="18">
        <f t="shared" si="1419"/>
        <v>39</v>
      </c>
      <c r="H1106" s="18">
        <f t="shared" ref="H1106:I1106" si="1420">H1124+H1149</f>
        <v>29</v>
      </c>
      <c r="I1106" s="18">
        <f t="shared" si="1420"/>
        <v>35</v>
      </c>
      <c r="J1106" s="18">
        <f t="shared" ref="J1106:K1106" si="1421">J1124+J1149</f>
        <v>50</v>
      </c>
      <c r="K1106" s="18">
        <f t="shared" si="1421"/>
        <v>40</v>
      </c>
      <c r="L1106" s="18">
        <f t="shared" ref="L1106:M1106" si="1422">L1124+L1149</f>
        <v>23</v>
      </c>
      <c r="M1106" s="18">
        <f t="shared" si="1422"/>
        <v>43</v>
      </c>
      <c r="N1106" s="133">
        <f t="shared" ref="N1106:N1118" si="1423">SUM(B1106:M1106)</f>
        <v>415</v>
      </c>
      <c r="O1106" s="19">
        <f t="shared" ref="O1106:O1118" si="1424">IF(N1106=0,0,AVERAGE(B1106:M1106))</f>
        <v>34.583333333333336</v>
      </c>
      <c r="P1106" s="8"/>
      <c r="Q1106" s="8"/>
      <c r="R1106" s="8"/>
      <c r="S1106" s="8"/>
      <c r="T1106" s="8"/>
      <c r="U1106" s="8"/>
      <c r="V1106" s="8"/>
      <c r="W1106" s="8"/>
      <c r="X1106" s="8"/>
      <c r="Y1106" s="8"/>
      <c r="Z1106" s="8"/>
    </row>
    <row r="1107" spans="1:26" s="9" customFormat="1" ht="15.75">
      <c r="A1107" s="29" t="s">
        <v>602</v>
      </c>
      <c r="B1107" s="18">
        <f t="shared" si="1417"/>
        <v>1</v>
      </c>
      <c r="C1107" s="18">
        <f t="shared" si="1417"/>
        <v>0</v>
      </c>
      <c r="D1107" s="18">
        <f t="shared" ref="D1107:E1107" si="1425">D1125+D1150</f>
        <v>1</v>
      </c>
      <c r="E1107" s="18">
        <f t="shared" si="1425"/>
        <v>0</v>
      </c>
      <c r="F1107" s="18">
        <f t="shared" ref="F1107:G1107" si="1426">F1125+F1150</f>
        <v>2</v>
      </c>
      <c r="G1107" s="18">
        <f t="shared" si="1426"/>
        <v>3</v>
      </c>
      <c r="H1107" s="18">
        <f t="shared" ref="H1107:I1107" si="1427">H1125+H1150</f>
        <v>0</v>
      </c>
      <c r="I1107" s="18">
        <f t="shared" si="1427"/>
        <v>1</v>
      </c>
      <c r="J1107" s="18">
        <f t="shared" ref="J1107:K1107" si="1428">J1125+J1150</f>
        <v>1</v>
      </c>
      <c r="K1107" s="18">
        <f t="shared" si="1428"/>
        <v>1</v>
      </c>
      <c r="L1107" s="18">
        <f t="shared" ref="L1107:M1107" si="1429">L1125+L1150</f>
        <v>0</v>
      </c>
      <c r="M1107" s="18">
        <f t="shared" si="1429"/>
        <v>0</v>
      </c>
      <c r="N1107" s="133">
        <f t="shared" si="1423"/>
        <v>10</v>
      </c>
      <c r="O1107" s="19">
        <f t="shared" si="1424"/>
        <v>0.83333333333333337</v>
      </c>
      <c r="P1107" s="8"/>
      <c r="Q1107" s="8"/>
      <c r="R1107" s="8"/>
      <c r="S1107" s="8"/>
      <c r="T1107" s="8"/>
      <c r="U1107" s="8"/>
      <c r="V1107" s="8"/>
      <c r="W1107" s="8"/>
      <c r="X1107" s="8"/>
      <c r="Y1107" s="8"/>
      <c r="Z1107" s="8"/>
    </row>
    <row r="1108" spans="1:26" s="9" customFormat="1" ht="15.75">
      <c r="A1108" s="29" t="s">
        <v>603</v>
      </c>
      <c r="B1108" s="18">
        <f t="shared" si="1417"/>
        <v>1</v>
      </c>
      <c r="C1108" s="18">
        <f t="shared" si="1417"/>
        <v>0</v>
      </c>
      <c r="D1108" s="18">
        <f t="shared" ref="D1108:E1108" si="1430">D1126+D1151</f>
        <v>0</v>
      </c>
      <c r="E1108" s="18">
        <f t="shared" si="1430"/>
        <v>0</v>
      </c>
      <c r="F1108" s="18">
        <f t="shared" ref="F1108:G1108" si="1431">F1126+F1151</f>
        <v>0</v>
      </c>
      <c r="G1108" s="18">
        <f t="shared" si="1431"/>
        <v>0</v>
      </c>
      <c r="H1108" s="18">
        <f t="shared" ref="H1108:I1108" si="1432">H1126+H1151</f>
        <v>0</v>
      </c>
      <c r="I1108" s="18">
        <f t="shared" si="1432"/>
        <v>0</v>
      </c>
      <c r="J1108" s="18">
        <f t="shared" ref="J1108:K1108" si="1433">J1126+J1151</f>
        <v>2</v>
      </c>
      <c r="K1108" s="18">
        <f t="shared" si="1433"/>
        <v>0</v>
      </c>
      <c r="L1108" s="18">
        <f t="shared" ref="L1108:M1108" si="1434">L1126+L1151</f>
        <v>0</v>
      </c>
      <c r="M1108" s="18">
        <f t="shared" si="1434"/>
        <v>0</v>
      </c>
      <c r="N1108" s="133">
        <f t="shared" si="1423"/>
        <v>3</v>
      </c>
      <c r="O1108" s="19">
        <f t="shared" si="1424"/>
        <v>0.25</v>
      </c>
      <c r="P1108" s="8"/>
      <c r="Q1108" s="8"/>
      <c r="R1108" s="8"/>
      <c r="S1108" s="8"/>
      <c r="T1108" s="8"/>
      <c r="U1108" s="8"/>
      <c r="V1108" s="8"/>
      <c r="W1108" s="8"/>
      <c r="X1108" s="8"/>
      <c r="Y1108" s="8"/>
      <c r="Z1108" s="8"/>
    </row>
    <row r="1109" spans="1:26" s="9" customFormat="1" ht="15.75">
      <c r="A1109" s="29" t="s">
        <v>157</v>
      </c>
      <c r="B1109" s="18">
        <f t="shared" si="1417"/>
        <v>5</v>
      </c>
      <c r="C1109" s="18">
        <f t="shared" si="1417"/>
        <v>0</v>
      </c>
      <c r="D1109" s="18">
        <f t="shared" ref="D1109:E1109" si="1435">D1127+D1152</f>
        <v>1</v>
      </c>
      <c r="E1109" s="18">
        <f t="shared" si="1435"/>
        <v>3</v>
      </c>
      <c r="F1109" s="18">
        <f t="shared" ref="F1109:G1109" si="1436">F1127+F1152</f>
        <v>1</v>
      </c>
      <c r="G1109" s="18">
        <f t="shared" si="1436"/>
        <v>1</v>
      </c>
      <c r="H1109" s="18">
        <f t="shared" ref="H1109:I1109" si="1437">H1127+H1152</f>
        <v>2</v>
      </c>
      <c r="I1109" s="18">
        <f t="shared" si="1437"/>
        <v>2</v>
      </c>
      <c r="J1109" s="18">
        <f t="shared" ref="J1109:K1109" si="1438">J1127+J1152</f>
        <v>3</v>
      </c>
      <c r="K1109" s="18">
        <f t="shared" si="1438"/>
        <v>3</v>
      </c>
      <c r="L1109" s="18">
        <f t="shared" ref="L1109:M1109" si="1439">L1127+L1152</f>
        <v>2</v>
      </c>
      <c r="M1109" s="18">
        <f t="shared" si="1439"/>
        <v>3</v>
      </c>
      <c r="N1109" s="133">
        <f t="shared" si="1423"/>
        <v>26</v>
      </c>
      <c r="O1109" s="19">
        <f t="shared" si="1424"/>
        <v>2.1666666666666665</v>
      </c>
      <c r="P1109" s="10"/>
      <c r="Q1109" s="10"/>
      <c r="R1109" s="10"/>
      <c r="S1109" s="10"/>
      <c r="T1109" s="10"/>
      <c r="U1109" s="10"/>
      <c r="V1109" s="10"/>
      <c r="W1109" s="10"/>
      <c r="X1109" s="10"/>
      <c r="Y1109" s="10"/>
      <c r="Z1109" s="10"/>
    </row>
    <row r="1110" spans="1:26" s="9" customFormat="1" ht="15.75">
      <c r="A1110" s="29" t="s">
        <v>597</v>
      </c>
      <c r="B1110" s="18">
        <f t="shared" si="1417"/>
        <v>8</v>
      </c>
      <c r="C1110" s="18">
        <f t="shared" si="1417"/>
        <v>3</v>
      </c>
      <c r="D1110" s="18">
        <f t="shared" ref="D1110:E1110" si="1440">D1128+D1153</f>
        <v>5</v>
      </c>
      <c r="E1110" s="18">
        <f t="shared" si="1440"/>
        <v>1</v>
      </c>
      <c r="F1110" s="18">
        <f t="shared" ref="F1110:G1110" si="1441">F1128+F1153</f>
        <v>3</v>
      </c>
      <c r="G1110" s="18">
        <f t="shared" si="1441"/>
        <v>1</v>
      </c>
      <c r="H1110" s="18">
        <f t="shared" ref="H1110:I1110" si="1442">H1128+H1153</f>
        <v>3</v>
      </c>
      <c r="I1110" s="18">
        <f t="shared" si="1442"/>
        <v>3</v>
      </c>
      <c r="J1110" s="18">
        <f t="shared" ref="J1110:K1110" si="1443">J1128+J1153</f>
        <v>5</v>
      </c>
      <c r="K1110" s="18">
        <f t="shared" si="1443"/>
        <v>3</v>
      </c>
      <c r="L1110" s="18">
        <f t="shared" ref="L1110:M1110" si="1444">L1128+L1153</f>
        <v>1</v>
      </c>
      <c r="M1110" s="18">
        <f t="shared" si="1444"/>
        <v>5</v>
      </c>
      <c r="N1110" s="133">
        <f t="shared" si="1423"/>
        <v>41</v>
      </c>
      <c r="O1110" s="19">
        <f t="shared" si="1424"/>
        <v>3.4166666666666665</v>
      </c>
      <c r="P1110" s="10"/>
      <c r="Q1110" s="10"/>
      <c r="R1110" s="10"/>
      <c r="S1110" s="10"/>
      <c r="T1110" s="10"/>
      <c r="U1110" s="10"/>
      <c r="V1110" s="10"/>
      <c r="W1110" s="10"/>
      <c r="X1110" s="10"/>
      <c r="Y1110" s="10"/>
      <c r="Z1110" s="10"/>
    </row>
    <row r="1111" spans="1:26" s="9" customFormat="1" ht="15.75">
      <c r="A1111" s="29" t="s">
        <v>379</v>
      </c>
      <c r="B1111" s="18">
        <f t="shared" si="1417"/>
        <v>0</v>
      </c>
      <c r="C1111" s="18">
        <f t="shared" si="1417"/>
        <v>1</v>
      </c>
      <c r="D1111" s="18">
        <f t="shared" ref="D1111:E1111" si="1445">D1129+D1154</f>
        <v>3</v>
      </c>
      <c r="E1111" s="18">
        <f t="shared" si="1445"/>
        <v>1</v>
      </c>
      <c r="F1111" s="18">
        <f t="shared" ref="F1111:G1111" si="1446">F1129+F1154</f>
        <v>1</v>
      </c>
      <c r="G1111" s="18">
        <f t="shared" si="1446"/>
        <v>2</v>
      </c>
      <c r="H1111" s="18">
        <f t="shared" ref="H1111:I1111" si="1447">H1129+H1154</f>
        <v>2</v>
      </c>
      <c r="I1111" s="18">
        <f t="shared" si="1447"/>
        <v>0</v>
      </c>
      <c r="J1111" s="18">
        <f t="shared" ref="J1111:K1111" si="1448">J1129+J1154</f>
        <v>2</v>
      </c>
      <c r="K1111" s="18">
        <f t="shared" si="1448"/>
        <v>0</v>
      </c>
      <c r="L1111" s="18">
        <f t="shared" ref="L1111:M1111" si="1449">L1129+L1154</f>
        <v>1</v>
      </c>
      <c r="M1111" s="18">
        <f t="shared" si="1449"/>
        <v>2</v>
      </c>
      <c r="N1111" s="133">
        <f t="shared" si="1423"/>
        <v>15</v>
      </c>
      <c r="O1111" s="19">
        <f t="shared" si="1424"/>
        <v>1.25</v>
      </c>
      <c r="P1111" s="10"/>
      <c r="Q1111" s="10"/>
      <c r="R1111" s="10"/>
      <c r="S1111" s="10"/>
      <c r="T1111" s="10"/>
      <c r="U1111" s="10"/>
      <c r="V1111" s="10"/>
      <c r="W1111" s="10"/>
      <c r="X1111" s="10"/>
      <c r="Y1111" s="10"/>
      <c r="Z1111" s="10"/>
    </row>
    <row r="1112" spans="1:26" s="9" customFormat="1" ht="15.75">
      <c r="A1112" s="29" t="s">
        <v>159</v>
      </c>
      <c r="B1112" s="18">
        <f t="shared" si="1417"/>
        <v>10</v>
      </c>
      <c r="C1112" s="18">
        <f t="shared" si="1417"/>
        <v>10</v>
      </c>
      <c r="D1112" s="18">
        <f t="shared" ref="D1112:E1112" si="1450">D1130+D1155</f>
        <v>12</v>
      </c>
      <c r="E1112" s="18">
        <f t="shared" si="1450"/>
        <v>10</v>
      </c>
      <c r="F1112" s="18">
        <f t="shared" ref="F1112:G1112" si="1451">F1130+F1155</f>
        <v>18</v>
      </c>
      <c r="G1112" s="18">
        <f t="shared" si="1451"/>
        <v>13</v>
      </c>
      <c r="H1112" s="18">
        <f t="shared" ref="H1112:I1112" si="1452">H1130+H1155</f>
        <v>11</v>
      </c>
      <c r="I1112" s="18">
        <f t="shared" si="1452"/>
        <v>12</v>
      </c>
      <c r="J1112" s="18">
        <f t="shared" ref="J1112:K1112" si="1453">J1130+J1155</f>
        <v>14</v>
      </c>
      <c r="K1112" s="18">
        <f t="shared" si="1453"/>
        <v>10</v>
      </c>
      <c r="L1112" s="18">
        <f t="shared" ref="L1112:M1112" si="1454">L1130+L1155</f>
        <v>8</v>
      </c>
      <c r="M1112" s="18">
        <f t="shared" si="1454"/>
        <v>13</v>
      </c>
      <c r="N1112" s="133">
        <f t="shared" si="1423"/>
        <v>141</v>
      </c>
      <c r="O1112" s="19">
        <f t="shared" si="1424"/>
        <v>11.75</v>
      </c>
      <c r="P1112" s="10"/>
      <c r="Q1112" s="10"/>
      <c r="R1112" s="10"/>
      <c r="S1112" s="10"/>
      <c r="T1112" s="10"/>
      <c r="U1112" s="10"/>
      <c r="V1112" s="10"/>
      <c r="W1112" s="10"/>
      <c r="X1112" s="10"/>
      <c r="Y1112" s="10"/>
      <c r="Z1112" s="10"/>
    </row>
    <row r="1113" spans="1:26" s="9" customFormat="1" ht="15.75">
      <c r="A1113" s="29" t="s">
        <v>170</v>
      </c>
      <c r="B1113" s="18">
        <f t="shared" si="1417"/>
        <v>2</v>
      </c>
      <c r="C1113" s="18">
        <f t="shared" si="1417"/>
        <v>3</v>
      </c>
      <c r="D1113" s="18">
        <f t="shared" ref="D1113:E1113" si="1455">D1131+D1156</f>
        <v>2</v>
      </c>
      <c r="E1113" s="18">
        <f t="shared" si="1455"/>
        <v>0</v>
      </c>
      <c r="F1113" s="18">
        <f t="shared" ref="F1113:G1113" si="1456">F1131+F1156</f>
        <v>1</v>
      </c>
      <c r="G1113" s="18">
        <f t="shared" si="1456"/>
        <v>1</v>
      </c>
      <c r="H1113" s="18">
        <f t="shared" ref="H1113:I1113" si="1457">H1131+H1156</f>
        <v>0</v>
      </c>
      <c r="I1113" s="18">
        <f t="shared" si="1457"/>
        <v>2</v>
      </c>
      <c r="J1113" s="18">
        <f t="shared" ref="J1113:K1113" si="1458">J1131+J1156</f>
        <v>3</v>
      </c>
      <c r="K1113" s="18">
        <f t="shared" si="1458"/>
        <v>3</v>
      </c>
      <c r="L1113" s="18">
        <f t="shared" ref="L1113:M1113" si="1459">L1131+L1156</f>
        <v>4</v>
      </c>
      <c r="M1113" s="18">
        <f t="shared" si="1459"/>
        <v>3</v>
      </c>
      <c r="N1113" s="133">
        <f t="shared" si="1423"/>
        <v>24</v>
      </c>
      <c r="O1113" s="19">
        <f t="shared" si="1424"/>
        <v>2</v>
      </c>
      <c r="P1113" s="10"/>
      <c r="Q1113" s="10"/>
      <c r="R1113" s="10"/>
      <c r="S1113" s="10"/>
      <c r="T1113" s="10"/>
      <c r="U1113" s="10"/>
      <c r="V1113" s="10"/>
      <c r="W1113" s="10"/>
      <c r="X1113" s="10"/>
      <c r="Y1113" s="10"/>
      <c r="Z1113" s="10"/>
    </row>
    <row r="1114" spans="1:26" s="9" customFormat="1" ht="15.75">
      <c r="A1114" s="29" t="s">
        <v>684</v>
      </c>
      <c r="B1114" s="18">
        <f t="shared" si="1417"/>
        <v>37</v>
      </c>
      <c r="C1114" s="18">
        <f t="shared" si="1417"/>
        <v>27</v>
      </c>
      <c r="D1114" s="18">
        <f t="shared" ref="D1114:E1114" si="1460">D1132+D1157</f>
        <v>23</v>
      </c>
      <c r="E1114" s="18">
        <f t="shared" si="1460"/>
        <v>14</v>
      </c>
      <c r="F1114" s="18">
        <f t="shared" ref="F1114:G1114" si="1461">F1132+F1157</f>
        <v>38</v>
      </c>
      <c r="G1114" s="18">
        <f t="shared" si="1461"/>
        <v>30</v>
      </c>
      <c r="H1114" s="18">
        <f t="shared" ref="H1114:I1114" si="1462">H1132+H1157</f>
        <v>28</v>
      </c>
      <c r="I1114" s="18">
        <f t="shared" si="1462"/>
        <v>31</v>
      </c>
      <c r="J1114" s="18">
        <f t="shared" ref="J1114:K1114" si="1463">J1132+J1157</f>
        <v>44</v>
      </c>
      <c r="K1114" s="18">
        <f t="shared" si="1463"/>
        <v>35</v>
      </c>
      <c r="L1114" s="18">
        <f t="shared" ref="L1114:M1114" si="1464">L1132+L1157</f>
        <v>19</v>
      </c>
      <c r="M1114" s="18">
        <f t="shared" si="1464"/>
        <v>40</v>
      </c>
      <c r="N1114" s="133">
        <f t="shared" si="1423"/>
        <v>366</v>
      </c>
      <c r="O1114" s="19">
        <f t="shared" si="1424"/>
        <v>30.5</v>
      </c>
      <c r="P1114" s="10"/>
      <c r="Q1114" s="10"/>
      <c r="R1114" s="10"/>
      <c r="S1114" s="10"/>
      <c r="T1114" s="10"/>
      <c r="U1114" s="10"/>
      <c r="V1114" s="10"/>
      <c r="W1114" s="10"/>
      <c r="X1114" s="10"/>
      <c r="Y1114" s="10"/>
      <c r="Z1114" s="10"/>
    </row>
    <row r="1115" spans="1:26" s="9" customFormat="1" ht="15.75">
      <c r="A1115" s="29" t="s">
        <v>288</v>
      </c>
      <c r="B1115" s="18">
        <f t="shared" si="1417"/>
        <v>4</v>
      </c>
      <c r="C1115" s="18">
        <f t="shared" si="1417"/>
        <v>7</v>
      </c>
      <c r="D1115" s="18">
        <f t="shared" ref="D1115:E1115" si="1465">D1133+D1158</f>
        <v>10</v>
      </c>
      <c r="E1115" s="18">
        <f t="shared" si="1465"/>
        <v>7</v>
      </c>
      <c r="F1115" s="18">
        <f t="shared" ref="F1115:G1115" si="1466">F1133+F1158</f>
        <v>9</v>
      </c>
      <c r="G1115" s="18">
        <f t="shared" si="1466"/>
        <v>17</v>
      </c>
      <c r="H1115" s="18">
        <f t="shared" ref="H1115:I1115" si="1467">H1133+H1158</f>
        <v>5</v>
      </c>
      <c r="I1115" s="18">
        <f t="shared" si="1467"/>
        <v>11</v>
      </c>
      <c r="J1115" s="18">
        <f t="shared" ref="J1115:K1115" si="1468">J1133+J1158</f>
        <v>14</v>
      </c>
      <c r="K1115" s="18">
        <f t="shared" si="1468"/>
        <v>13</v>
      </c>
      <c r="L1115" s="18">
        <f t="shared" ref="L1115:M1115" si="1469">L1133+L1158</f>
        <v>7</v>
      </c>
      <c r="M1115" s="18">
        <f t="shared" si="1469"/>
        <v>12</v>
      </c>
      <c r="N1115" s="133">
        <f t="shared" si="1423"/>
        <v>116</v>
      </c>
      <c r="O1115" s="19">
        <f t="shared" si="1424"/>
        <v>9.6666666666666661</v>
      </c>
      <c r="P1115" s="8"/>
      <c r="Q1115" s="8"/>
      <c r="R1115" s="8"/>
      <c r="S1115" s="8"/>
      <c r="T1115" s="8"/>
      <c r="U1115" s="8"/>
      <c r="V1115" s="8"/>
      <c r="W1115" s="8"/>
      <c r="X1115" s="8"/>
      <c r="Y1115" s="8"/>
      <c r="Z1115" s="8"/>
    </row>
    <row r="1116" spans="1:26" s="9" customFormat="1" ht="15.75">
      <c r="A1116" s="29" t="s">
        <v>604</v>
      </c>
      <c r="B1116" s="18">
        <f t="shared" si="1417"/>
        <v>0</v>
      </c>
      <c r="C1116" s="18">
        <f t="shared" si="1417"/>
        <v>0</v>
      </c>
      <c r="D1116" s="18">
        <f t="shared" ref="D1116:E1116" si="1470">D1134+D1159</f>
        <v>0</v>
      </c>
      <c r="E1116" s="18">
        <f t="shared" si="1470"/>
        <v>0</v>
      </c>
      <c r="F1116" s="18">
        <f t="shared" ref="F1116:G1116" si="1471">F1134+F1159</f>
        <v>0</v>
      </c>
      <c r="G1116" s="18">
        <f t="shared" si="1471"/>
        <v>0</v>
      </c>
      <c r="H1116" s="18">
        <f t="shared" ref="H1116:I1116" si="1472">H1134+H1159</f>
        <v>0</v>
      </c>
      <c r="I1116" s="18">
        <f t="shared" si="1472"/>
        <v>0</v>
      </c>
      <c r="J1116" s="18">
        <f t="shared" ref="J1116:K1116" si="1473">J1134+J1159</f>
        <v>0</v>
      </c>
      <c r="K1116" s="18">
        <f t="shared" si="1473"/>
        <v>1</v>
      </c>
      <c r="L1116" s="18">
        <f t="shared" ref="L1116:M1116" si="1474">L1134+L1159</f>
        <v>0</v>
      </c>
      <c r="M1116" s="18">
        <f t="shared" si="1474"/>
        <v>0</v>
      </c>
      <c r="N1116" s="133">
        <f t="shared" si="1423"/>
        <v>1</v>
      </c>
      <c r="O1116" s="19">
        <f t="shared" si="1424"/>
        <v>8.3333333333333329E-2</v>
      </c>
      <c r="P1116" s="8"/>
      <c r="Q1116" s="8"/>
      <c r="R1116" s="8"/>
      <c r="S1116" s="8"/>
      <c r="T1116" s="8"/>
      <c r="U1116" s="8"/>
      <c r="V1116" s="8"/>
      <c r="W1116" s="8"/>
      <c r="X1116" s="8"/>
      <c r="Y1116" s="8"/>
      <c r="Z1116" s="8"/>
    </row>
    <row r="1117" spans="1:26" s="9" customFormat="1" ht="15.75">
      <c r="A1117" s="29" t="s">
        <v>171</v>
      </c>
      <c r="B1117" s="18">
        <f t="shared" si="1417"/>
        <v>0</v>
      </c>
      <c r="C1117" s="18">
        <f t="shared" si="1417"/>
        <v>0</v>
      </c>
      <c r="D1117" s="18">
        <f t="shared" ref="D1117:E1117" si="1475">D1135+D1160</f>
        <v>0</v>
      </c>
      <c r="E1117" s="18">
        <f t="shared" si="1475"/>
        <v>0</v>
      </c>
      <c r="F1117" s="18">
        <f t="shared" ref="F1117:G1117" si="1476">F1135+F1160</f>
        <v>0</v>
      </c>
      <c r="G1117" s="18">
        <f t="shared" si="1476"/>
        <v>0</v>
      </c>
      <c r="H1117" s="18">
        <f t="shared" ref="H1117:I1117" si="1477">H1135+H1160</f>
        <v>0</v>
      </c>
      <c r="I1117" s="18">
        <f t="shared" si="1477"/>
        <v>0</v>
      </c>
      <c r="J1117" s="18">
        <f t="shared" ref="J1117:K1117" si="1478">J1135+J1160</f>
        <v>0</v>
      </c>
      <c r="K1117" s="18">
        <f t="shared" si="1478"/>
        <v>0</v>
      </c>
      <c r="L1117" s="18">
        <f t="shared" ref="L1117:M1117" si="1479">L1135+L1160</f>
        <v>0</v>
      </c>
      <c r="M1117" s="18">
        <f t="shared" si="1479"/>
        <v>0</v>
      </c>
      <c r="N1117" s="133">
        <f t="shared" si="1423"/>
        <v>0</v>
      </c>
      <c r="O1117" s="19">
        <f t="shared" si="1424"/>
        <v>0</v>
      </c>
      <c r="P1117" s="8"/>
      <c r="Q1117" s="8"/>
      <c r="R1117" s="8"/>
      <c r="S1117" s="8"/>
      <c r="T1117" s="8"/>
      <c r="U1117" s="8"/>
      <c r="V1117" s="8"/>
      <c r="W1117" s="8"/>
      <c r="X1117" s="8"/>
      <c r="Y1117" s="8"/>
      <c r="Z1117" s="8"/>
    </row>
    <row r="1118" spans="1:26" s="9" customFormat="1" ht="15.75">
      <c r="A1118" s="29" t="s">
        <v>164</v>
      </c>
      <c r="B1118" s="18">
        <f t="shared" si="1417"/>
        <v>46</v>
      </c>
      <c r="C1118" s="18">
        <f t="shared" si="1417"/>
        <v>61</v>
      </c>
      <c r="D1118" s="18">
        <f t="shared" ref="D1118:E1118" si="1480">D1136+D1161</f>
        <v>67</v>
      </c>
      <c r="E1118" s="18">
        <f t="shared" si="1480"/>
        <v>52</v>
      </c>
      <c r="F1118" s="18">
        <f t="shared" ref="F1118:G1118" si="1481">F1136+F1161</f>
        <v>73</v>
      </c>
      <c r="G1118" s="18">
        <f t="shared" si="1481"/>
        <v>72</v>
      </c>
      <c r="H1118" s="18">
        <f t="shared" ref="H1118:I1118" si="1482">H1136+H1161</f>
        <v>42</v>
      </c>
      <c r="I1118" s="18">
        <f t="shared" si="1482"/>
        <v>63</v>
      </c>
      <c r="J1118" s="18">
        <f t="shared" ref="J1118:K1118" si="1483">J1136+J1161</f>
        <v>82</v>
      </c>
      <c r="K1118" s="18">
        <f t="shared" si="1483"/>
        <v>85</v>
      </c>
      <c r="L1118" s="18">
        <f t="shared" ref="L1118:M1118" si="1484">L1136+L1161</f>
        <v>44</v>
      </c>
      <c r="M1118" s="18">
        <f t="shared" si="1484"/>
        <v>78</v>
      </c>
      <c r="N1118" s="133">
        <f t="shared" si="1423"/>
        <v>765</v>
      </c>
      <c r="O1118" s="19">
        <f t="shared" si="1424"/>
        <v>63.75</v>
      </c>
      <c r="P1118" s="8"/>
      <c r="Q1118" s="8"/>
      <c r="R1118" s="8"/>
      <c r="S1118" s="8"/>
      <c r="T1118" s="8"/>
      <c r="U1118" s="8"/>
      <c r="V1118" s="8"/>
      <c r="W1118" s="8"/>
      <c r="X1118" s="8"/>
      <c r="Y1118" s="8"/>
      <c r="Z1118" s="8"/>
    </row>
    <row r="1119" spans="1:26" s="9" customFormat="1" ht="15.75">
      <c r="A1119" s="29" t="s">
        <v>22</v>
      </c>
      <c r="B1119" s="18">
        <f t="shared" ref="B1119:C1119" si="1485">B1138+B1163</f>
        <v>153</v>
      </c>
      <c r="C1119" s="18">
        <f t="shared" si="1485"/>
        <v>145</v>
      </c>
      <c r="D1119" s="18">
        <f t="shared" ref="D1119:E1119" si="1486">D1138+D1163</f>
        <v>150</v>
      </c>
      <c r="E1119" s="18">
        <f t="shared" si="1486"/>
        <v>103</v>
      </c>
      <c r="F1119" s="18">
        <f t="shared" ref="F1119:G1119" si="1487">F1138+F1163</f>
        <v>190</v>
      </c>
      <c r="G1119" s="18">
        <f t="shared" si="1487"/>
        <v>179</v>
      </c>
      <c r="H1119" s="18">
        <f t="shared" ref="H1119:I1119" si="1488">H1138+H1163</f>
        <v>122</v>
      </c>
      <c r="I1119" s="18">
        <f t="shared" si="1488"/>
        <v>160</v>
      </c>
      <c r="J1119" s="18">
        <f t="shared" ref="J1119:K1119" si="1489">J1138+J1163</f>
        <v>220</v>
      </c>
      <c r="K1119" s="18">
        <f t="shared" si="1489"/>
        <v>194</v>
      </c>
      <c r="L1119" s="18">
        <f t="shared" ref="L1119:M1119" si="1490">L1138+L1163</f>
        <v>109</v>
      </c>
      <c r="M1119" s="18">
        <f t="shared" si="1490"/>
        <v>199</v>
      </c>
      <c r="N1119" s="133">
        <f t="shared" ref="N1119" si="1491">SUM(B1119:M1119)</f>
        <v>1924</v>
      </c>
      <c r="O1119" s="19">
        <f t="shared" ref="O1119" si="1492">IF(N1119=0,0,AVERAGE(B1119:M1119))</f>
        <v>160.33333333333334</v>
      </c>
      <c r="P1119" s="8"/>
      <c r="Q1119" s="8"/>
      <c r="R1119" s="8"/>
      <c r="S1119" s="8"/>
      <c r="T1119" s="8"/>
      <c r="U1119" s="8"/>
      <c r="V1119" s="8"/>
      <c r="W1119" s="8"/>
      <c r="X1119" s="8"/>
      <c r="Y1119" s="8"/>
      <c r="Z1119" s="8"/>
    </row>
    <row r="1120" spans="1:26" s="9" customFormat="1" ht="15.75">
      <c r="A1120" s="56" t="s">
        <v>21</v>
      </c>
      <c r="B1120" s="21">
        <f t="shared" ref="B1120:C1120" si="1493">SUM(B1106:B1118)</f>
        <v>153</v>
      </c>
      <c r="C1120" s="21">
        <f t="shared" si="1493"/>
        <v>144</v>
      </c>
      <c r="D1120" s="21">
        <f t="shared" ref="D1120:E1120" si="1494">SUM(D1106:D1118)</f>
        <v>150</v>
      </c>
      <c r="E1120" s="21">
        <f t="shared" si="1494"/>
        <v>103</v>
      </c>
      <c r="F1120" s="21">
        <f t="shared" ref="F1120:G1120" si="1495">SUM(F1106:F1118)</f>
        <v>190</v>
      </c>
      <c r="G1120" s="21">
        <f t="shared" si="1495"/>
        <v>179</v>
      </c>
      <c r="H1120" s="21">
        <f t="shared" ref="H1120:I1120" si="1496">SUM(H1106:H1118)</f>
        <v>122</v>
      </c>
      <c r="I1120" s="21">
        <f t="shared" si="1496"/>
        <v>160</v>
      </c>
      <c r="J1120" s="21">
        <f t="shared" ref="J1120:K1120" si="1497">SUM(J1106:J1118)</f>
        <v>220</v>
      </c>
      <c r="K1120" s="21">
        <f t="shared" si="1497"/>
        <v>194</v>
      </c>
      <c r="L1120" s="21">
        <f t="shared" ref="L1120:M1120" si="1498">SUM(L1106:L1118)</f>
        <v>109</v>
      </c>
      <c r="M1120" s="21">
        <f t="shared" si="1498"/>
        <v>199</v>
      </c>
      <c r="N1120" s="128">
        <f>SUM(N1106:N1118)</f>
        <v>1923</v>
      </c>
      <c r="O1120" s="22">
        <f>SUM(O1106:O1118)</f>
        <v>160.25</v>
      </c>
      <c r="P1120" s="8"/>
      <c r="Q1120" s="8"/>
      <c r="R1120" s="8"/>
      <c r="S1120" s="8"/>
      <c r="T1120" s="8"/>
      <c r="U1120" s="8"/>
      <c r="V1120" s="8"/>
      <c r="W1120" s="8"/>
      <c r="X1120" s="8"/>
      <c r="Y1120" s="8"/>
      <c r="Z1120" s="8"/>
    </row>
    <row r="1121" spans="1:26" s="9" customFormat="1" ht="15.75">
      <c r="A1121" s="56" t="s">
        <v>112</v>
      </c>
      <c r="B1121" s="22">
        <f t="shared" ref="B1121:G1121" si="1499">IF(B1120=0,"",B1120/B$1676)</f>
        <v>4.935483870967742</v>
      </c>
      <c r="C1121" s="22">
        <f t="shared" si="1499"/>
        <v>5.1428571428571432</v>
      </c>
      <c r="D1121" s="22">
        <f t="shared" si="1499"/>
        <v>4.838709677419355</v>
      </c>
      <c r="E1121" s="22">
        <f t="shared" si="1499"/>
        <v>3.4333333333333331</v>
      </c>
      <c r="F1121" s="22">
        <f t="shared" si="1499"/>
        <v>6.129032258064516</v>
      </c>
      <c r="G1121" s="22">
        <f t="shared" si="1499"/>
        <v>5.9666666666666668</v>
      </c>
      <c r="H1121" s="22">
        <f t="shared" ref="H1121:I1121" si="1500">IF(H1120=0,"",H1120/H$1676)</f>
        <v>3.935483870967742</v>
      </c>
      <c r="I1121" s="22">
        <f t="shared" si="1500"/>
        <v>5.161290322580645</v>
      </c>
      <c r="J1121" s="22">
        <f t="shared" ref="J1121:K1121" si="1501">IF(J1120=0,"",J1120/J$1676)</f>
        <v>7.333333333333333</v>
      </c>
      <c r="K1121" s="22">
        <f t="shared" si="1501"/>
        <v>6.258064516129032</v>
      </c>
      <c r="L1121" s="22">
        <f t="shared" ref="L1121:M1121" si="1502">IF(L1120=0,"",L1120/L$1676)</f>
        <v>3.6333333333333333</v>
      </c>
      <c r="M1121" s="22">
        <f t="shared" si="1502"/>
        <v>6.419354838709677</v>
      </c>
      <c r="N1121" s="128">
        <f>SUM(B1121:M1121)</f>
        <v>63.186943164362532</v>
      </c>
      <c r="O1121" s="22">
        <f>IF(N1121=0,0,AVERAGE(B1121:M1121))</f>
        <v>5.2655785970302107</v>
      </c>
      <c r="P1121" s="8"/>
      <c r="Q1121" s="8"/>
      <c r="R1121" s="8"/>
      <c r="S1121" s="8"/>
      <c r="T1121" s="8"/>
      <c r="U1121" s="8"/>
      <c r="V1121" s="8"/>
      <c r="W1121" s="8"/>
      <c r="X1121" s="8"/>
      <c r="Y1121" s="8"/>
      <c r="Z1121" s="8"/>
    </row>
    <row r="1122" spans="1:26" s="9" customFormat="1" ht="15.75">
      <c r="A1122" s="460"/>
      <c r="B1122" s="461"/>
      <c r="C1122" s="461"/>
      <c r="D1122" s="461"/>
      <c r="E1122" s="462"/>
      <c r="F1122" s="462"/>
      <c r="G1122" s="462"/>
      <c r="H1122" s="462"/>
      <c r="I1122" s="462"/>
      <c r="J1122" s="462"/>
      <c r="K1122" s="462"/>
      <c r="L1122" s="462"/>
      <c r="M1122" s="462"/>
      <c r="N1122" s="463"/>
      <c r="O1122" s="464"/>
      <c r="P1122" s="8"/>
      <c r="Q1122" s="8"/>
      <c r="R1122" s="8"/>
      <c r="S1122" s="8"/>
      <c r="T1122" s="8"/>
      <c r="U1122" s="8"/>
      <c r="V1122" s="8"/>
      <c r="W1122" s="8"/>
      <c r="X1122" s="8"/>
      <c r="Y1122" s="8"/>
      <c r="Z1122" s="8"/>
    </row>
    <row r="1123" spans="1:26" s="9" customFormat="1" ht="15.75">
      <c r="A1123" s="60" t="s">
        <v>771</v>
      </c>
      <c r="B1123" s="75"/>
      <c r="C1123" s="75"/>
      <c r="D1123" s="75"/>
      <c r="E1123" s="75"/>
      <c r="F1123" s="75"/>
      <c r="G1123" s="75"/>
      <c r="H1123" s="75"/>
      <c r="I1123" s="75"/>
      <c r="J1123" s="75"/>
      <c r="K1123" s="75"/>
      <c r="L1123" s="75"/>
      <c r="M1123" s="75"/>
      <c r="N1123" s="146"/>
      <c r="O1123" s="76"/>
      <c r="P1123" s="8"/>
      <c r="Q1123" s="8"/>
      <c r="R1123" s="8"/>
      <c r="S1123" s="8"/>
      <c r="T1123" s="8"/>
      <c r="U1123" s="8"/>
      <c r="V1123" s="8"/>
      <c r="W1123" s="8"/>
      <c r="X1123" s="8"/>
      <c r="Y1123" s="8"/>
      <c r="Z1123" s="8"/>
    </row>
    <row r="1124" spans="1:26" s="9" customFormat="1" ht="15.75">
      <c r="A1124" s="29" t="s">
        <v>169</v>
      </c>
      <c r="B1124" s="18">
        <f>8+3+3</f>
        <v>14</v>
      </c>
      <c r="C1124" s="18">
        <v>20</v>
      </c>
      <c r="D1124" s="18">
        <f>3+11</f>
        <v>14</v>
      </c>
      <c r="E1124" s="18">
        <f>2+2</f>
        <v>4</v>
      </c>
      <c r="F1124" s="18">
        <f>12+7+4</f>
        <v>23</v>
      </c>
      <c r="G1124" s="18">
        <v>18</v>
      </c>
      <c r="H1124" s="18">
        <v>20</v>
      </c>
      <c r="I1124" s="18">
        <f>5+8+3</f>
        <v>16</v>
      </c>
      <c r="J1124" s="18">
        <v>20</v>
      </c>
      <c r="K1124" s="18">
        <v>24</v>
      </c>
      <c r="L1124" s="18">
        <v>12</v>
      </c>
      <c r="M1124" s="18">
        <f>12+12+4</f>
        <v>28</v>
      </c>
      <c r="N1124" s="133">
        <f t="shared" ref="N1124:N1136" si="1503">SUM(B1124:M1124)</f>
        <v>213</v>
      </c>
      <c r="O1124" s="19">
        <f t="shared" ref="O1124:O1136" si="1504">IF(N1124=0,0,AVERAGE(B1124:M1124))</f>
        <v>17.75</v>
      </c>
      <c r="P1124" s="8"/>
      <c r="Q1124" s="8"/>
      <c r="R1124" s="8"/>
      <c r="S1124" s="8"/>
      <c r="T1124" s="8"/>
      <c r="U1124" s="8"/>
      <c r="V1124" s="8"/>
      <c r="W1124" s="8"/>
      <c r="X1124" s="8"/>
      <c r="Y1124" s="8"/>
      <c r="Z1124" s="8"/>
    </row>
    <row r="1125" spans="1:26" s="9" customFormat="1" ht="15.75">
      <c r="A1125" s="29" t="s">
        <v>602</v>
      </c>
      <c r="B1125" s="18">
        <v>0</v>
      </c>
      <c r="C1125" s="18">
        <v>0</v>
      </c>
      <c r="D1125" s="18">
        <v>0</v>
      </c>
      <c r="E1125" s="18">
        <v>0</v>
      </c>
      <c r="F1125" s="18">
        <v>0</v>
      </c>
      <c r="G1125" s="18">
        <v>0</v>
      </c>
      <c r="H1125" s="18">
        <v>0</v>
      </c>
      <c r="I1125" s="18">
        <v>0</v>
      </c>
      <c r="J1125" s="18">
        <v>0</v>
      </c>
      <c r="K1125" s="18">
        <v>0</v>
      </c>
      <c r="L1125" s="18">
        <v>0</v>
      </c>
      <c r="M1125" s="18">
        <v>0</v>
      </c>
      <c r="N1125" s="133">
        <f t="shared" si="1503"/>
        <v>0</v>
      </c>
      <c r="O1125" s="19">
        <f t="shared" si="1504"/>
        <v>0</v>
      </c>
      <c r="P1125" s="8"/>
      <c r="Q1125" s="8"/>
      <c r="R1125" s="8"/>
      <c r="S1125" s="8"/>
      <c r="T1125" s="8"/>
      <c r="U1125" s="8"/>
      <c r="V1125" s="8"/>
      <c r="W1125" s="8"/>
      <c r="X1125" s="8"/>
      <c r="Y1125" s="8"/>
      <c r="Z1125" s="8"/>
    </row>
    <row r="1126" spans="1:26" s="9" customFormat="1" ht="15.75">
      <c r="A1126" s="29" t="s">
        <v>603</v>
      </c>
      <c r="B1126" s="18">
        <v>0</v>
      </c>
      <c r="C1126" s="18">
        <v>0</v>
      </c>
      <c r="D1126" s="18">
        <v>0</v>
      </c>
      <c r="E1126" s="18">
        <v>0</v>
      </c>
      <c r="F1126" s="18">
        <v>0</v>
      </c>
      <c r="G1126" s="18">
        <v>0</v>
      </c>
      <c r="H1126" s="18">
        <v>0</v>
      </c>
      <c r="I1126" s="18">
        <v>0</v>
      </c>
      <c r="J1126" s="18">
        <v>0</v>
      </c>
      <c r="K1126" s="18">
        <v>0</v>
      </c>
      <c r="L1126" s="18">
        <v>0</v>
      </c>
      <c r="M1126" s="18">
        <v>0</v>
      </c>
      <c r="N1126" s="133">
        <f t="shared" si="1503"/>
        <v>0</v>
      </c>
      <c r="O1126" s="19">
        <f t="shared" si="1504"/>
        <v>0</v>
      </c>
      <c r="P1126" s="10"/>
      <c r="Q1126" s="10"/>
      <c r="R1126" s="10"/>
      <c r="S1126" s="10"/>
      <c r="T1126" s="10"/>
      <c r="U1126" s="10"/>
      <c r="V1126" s="10"/>
      <c r="W1126" s="10"/>
      <c r="X1126" s="10"/>
      <c r="Y1126" s="10"/>
      <c r="Z1126" s="10"/>
    </row>
    <row r="1127" spans="1:26" s="9" customFormat="1" ht="15.75">
      <c r="A1127" s="29" t="s">
        <v>157</v>
      </c>
      <c r="B1127" s="18">
        <v>0</v>
      </c>
      <c r="C1127" s="18">
        <v>0</v>
      </c>
      <c r="D1127" s="18">
        <v>0</v>
      </c>
      <c r="E1127" s="18">
        <v>1</v>
      </c>
      <c r="F1127" s="18">
        <v>0</v>
      </c>
      <c r="G1127" s="18">
        <v>1</v>
      </c>
      <c r="H1127" s="18">
        <v>1</v>
      </c>
      <c r="I1127" s="18">
        <v>0</v>
      </c>
      <c r="J1127" s="18">
        <v>1</v>
      </c>
      <c r="K1127" s="18">
        <v>1</v>
      </c>
      <c r="L1127" s="18">
        <v>1</v>
      </c>
      <c r="M1127" s="18">
        <v>1</v>
      </c>
      <c r="N1127" s="133">
        <f t="shared" si="1503"/>
        <v>7</v>
      </c>
      <c r="O1127" s="19">
        <f t="shared" si="1504"/>
        <v>0.58333333333333337</v>
      </c>
      <c r="P1127" s="8"/>
      <c r="Q1127" s="8"/>
      <c r="R1127" s="8"/>
      <c r="S1127" s="8"/>
      <c r="T1127" s="8"/>
      <c r="U1127" s="8"/>
      <c r="V1127" s="8"/>
      <c r="W1127" s="8"/>
      <c r="X1127" s="8"/>
      <c r="Y1127" s="8"/>
      <c r="Z1127" s="8"/>
    </row>
    <row r="1128" spans="1:26" s="9" customFormat="1" ht="15.75">
      <c r="A1128" s="29" t="s">
        <v>597</v>
      </c>
      <c r="B1128" s="18">
        <v>0</v>
      </c>
      <c r="C1128" s="18">
        <v>1</v>
      </c>
      <c r="D1128" s="18">
        <v>0</v>
      </c>
      <c r="E1128" s="18">
        <v>0</v>
      </c>
      <c r="F1128" s="18">
        <v>0</v>
      </c>
      <c r="G1128" s="18">
        <v>0</v>
      </c>
      <c r="H1128" s="18">
        <v>0</v>
      </c>
      <c r="I1128" s="18">
        <v>1</v>
      </c>
      <c r="J1128" s="18">
        <v>0</v>
      </c>
      <c r="K1128" s="18">
        <v>1</v>
      </c>
      <c r="L1128" s="18">
        <v>1</v>
      </c>
      <c r="M1128" s="18">
        <v>1</v>
      </c>
      <c r="N1128" s="133">
        <f t="shared" si="1503"/>
        <v>5</v>
      </c>
      <c r="O1128" s="19">
        <f t="shared" si="1504"/>
        <v>0.41666666666666669</v>
      </c>
      <c r="P1128" s="8"/>
      <c r="Q1128" s="8"/>
      <c r="R1128" s="8"/>
      <c r="S1128" s="8"/>
      <c r="T1128" s="8"/>
      <c r="U1128" s="8"/>
      <c r="V1128" s="8"/>
      <c r="W1128" s="8"/>
      <c r="X1128" s="8"/>
      <c r="Y1128" s="8"/>
      <c r="Z1128" s="8"/>
    </row>
    <row r="1129" spans="1:26" s="9" customFormat="1" ht="15.75">
      <c r="A1129" s="29" t="s">
        <v>379</v>
      </c>
      <c r="B1129" s="18">
        <v>0</v>
      </c>
      <c r="C1129" s="18">
        <v>0</v>
      </c>
      <c r="D1129" s="18">
        <v>0</v>
      </c>
      <c r="E1129" s="18">
        <v>0</v>
      </c>
      <c r="F1129" s="18">
        <v>0</v>
      </c>
      <c r="G1129" s="18">
        <v>0</v>
      </c>
      <c r="H1129" s="18">
        <v>0</v>
      </c>
      <c r="I1129" s="18">
        <v>0</v>
      </c>
      <c r="J1129" s="18">
        <v>0</v>
      </c>
      <c r="K1129" s="18">
        <v>0</v>
      </c>
      <c r="L1129" s="18">
        <v>1</v>
      </c>
      <c r="M1129" s="18">
        <v>1</v>
      </c>
      <c r="N1129" s="133">
        <f t="shared" si="1503"/>
        <v>2</v>
      </c>
      <c r="O1129" s="19">
        <f t="shared" si="1504"/>
        <v>0.16666666666666666</v>
      </c>
      <c r="P1129" s="8"/>
      <c r="Q1129" s="8"/>
      <c r="R1129" s="8"/>
      <c r="S1129" s="8"/>
      <c r="T1129" s="8"/>
      <c r="U1129" s="8"/>
      <c r="V1129" s="8"/>
      <c r="W1129" s="8"/>
      <c r="X1129" s="8"/>
      <c r="Y1129" s="8"/>
      <c r="Z1129" s="8"/>
    </row>
    <row r="1130" spans="1:26" s="9" customFormat="1" ht="15.75">
      <c r="A1130" s="29" t="s">
        <v>159</v>
      </c>
      <c r="B1130" s="18">
        <f>4+1</f>
        <v>5</v>
      </c>
      <c r="C1130" s="18">
        <v>5</v>
      </c>
      <c r="D1130" s="18">
        <f>1+1</f>
        <v>2</v>
      </c>
      <c r="E1130" s="18">
        <v>1</v>
      </c>
      <c r="F1130" s="18">
        <f>2+3</f>
        <v>5</v>
      </c>
      <c r="G1130" s="18">
        <v>2</v>
      </c>
      <c r="H1130" s="18">
        <v>2</v>
      </c>
      <c r="I1130" s="18">
        <v>1</v>
      </c>
      <c r="J1130" s="18">
        <v>4</v>
      </c>
      <c r="K1130" s="18">
        <v>3</v>
      </c>
      <c r="L1130" s="18">
        <v>3</v>
      </c>
      <c r="M1130" s="18">
        <f>2+3+3</f>
        <v>8</v>
      </c>
      <c r="N1130" s="133">
        <f t="shared" si="1503"/>
        <v>41</v>
      </c>
      <c r="O1130" s="19">
        <f t="shared" si="1504"/>
        <v>3.4166666666666665</v>
      </c>
      <c r="P1130" s="8"/>
      <c r="Q1130" s="8"/>
      <c r="R1130" s="8"/>
      <c r="S1130" s="8"/>
      <c r="T1130" s="8"/>
      <c r="U1130" s="8"/>
      <c r="V1130" s="8"/>
      <c r="W1130" s="8"/>
      <c r="X1130" s="8"/>
      <c r="Y1130" s="8"/>
      <c r="Z1130" s="8"/>
    </row>
    <row r="1131" spans="1:26" s="9" customFormat="1" ht="15.75">
      <c r="A1131" s="29" t="s">
        <v>170</v>
      </c>
      <c r="B1131" s="18">
        <f>1</f>
        <v>1</v>
      </c>
      <c r="C1131" s="18">
        <v>0</v>
      </c>
      <c r="D1131" s="18">
        <v>0</v>
      </c>
      <c r="E1131" s="18">
        <v>0</v>
      </c>
      <c r="F1131" s="18">
        <v>0</v>
      </c>
      <c r="G1131" s="18">
        <v>0</v>
      </c>
      <c r="H1131" s="18">
        <v>0</v>
      </c>
      <c r="I1131" s="18">
        <v>0</v>
      </c>
      <c r="J1131" s="18">
        <v>0</v>
      </c>
      <c r="K1131" s="18">
        <v>0</v>
      </c>
      <c r="L1131" s="18">
        <v>1</v>
      </c>
      <c r="M1131" s="18">
        <v>0</v>
      </c>
      <c r="N1131" s="133">
        <f t="shared" si="1503"/>
        <v>2</v>
      </c>
      <c r="O1131" s="19">
        <f t="shared" si="1504"/>
        <v>0.16666666666666666</v>
      </c>
      <c r="P1131" s="8"/>
      <c r="Q1131" s="8"/>
      <c r="R1131" s="8"/>
      <c r="S1131" s="8"/>
      <c r="T1131" s="8"/>
      <c r="U1131" s="8"/>
      <c r="V1131" s="8"/>
      <c r="W1131" s="8"/>
      <c r="X1131" s="8"/>
      <c r="Y1131" s="8"/>
      <c r="Z1131" s="8"/>
    </row>
    <row r="1132" spans="1:26" s="9" customFormat="1" ht="15.75">
      <c r="A1132" s="29" t="s">
        <v>684</v>
      </c>
      <c r="B1132" s="18">
        <f>8+3+3</f>
        <v>14</v>
      </c>
      <c r="C1132" s="18">
        <v>19</v>
      </c>
      <c r="D1132" s="18">
        <f>2+8</f>
        <v>10</v>
      </c>
      <c r="E1132" s="18">
        <f>2+2</f>
        <v>4</v>
      </c>
      <c r="F1132" s="18">
        <f>12+6+4</f>
        <v>22</v>
      </c>
      <c r="G1132" s="18">
        <v>17</v>
      </c>
      <c r="H1132" s="18">
        <v>20</v>
      </c>
      <c r="I1132" s="18">
        <f>5+7+3</f>
        <v>15</v>
      </c>
      <c r="J1132" s="18">
        <v>20</v>
      </c>
      <c r="K1132" s="18">
        <v>22</v>
      </c>
      <c r="L1132" s="18">
        <v>10</v>
      </c>
      <c r="M1132" s="18">
        <f>10+12+4</f>
        <v>26</v>
      </c>
      <c r="N1132" s="133">
        <f t="shared" si="1503"/>
        <v>199</v>
      </c>
      <c r="O1132" s="19">
        <f t="shared" si="1504"/>
        <v>16.583333333333332</v>
      </c>
      <c r="P1132" s="8"/>
      <c r="Q1132" s="8"/>
      <c r="R1132" s="8"/>
      <c r="S1132" s="8"/>
      <c r="T1132" s="8"/>
      <c r="U1132" s="8"/>
      <c r="V1132" s="8"/>
      <c r="W1132" s="8"/>
      <c r="X1132" s="8"/>
      <c r="Y1132" s="8"/>
      <c r="Z1132" s="8"/>
    </row>
    <row r="1133" spans="1:26" s="9" customFormat="1" ht="15.75">
      <c r="A1133" s="29" t="s">
        <v>288</v>
      </c>
      <c r="B1133" s="18">
        <v>0</v>
      </c>
      <c r="C1133" s="18">
        <v>1</v>
      </c>
      <c r="D1133" s="18">
        <v>1</v>
      </c>
      <c r="E1133" s="18">
        <v>0</v>
      </c>
      <c r="F1133" s="18">
        <v>0</v>
      </c>
      <c r="G1133" s="18">
        <v>0</v>
      </c>
      <c r="H1133" s="18">
        <v>0</v>
      </c>
      <c r="I1133" s="18">
        <v>1</v>
      </c>
      <c r="J1133" s="18">
        <v>1</v>
      </c>
      <c r="K1133" s="18">
        <v>1</v>
      </c>
      <c r="L1133" s="18">
        <v>0</v>
      </c>
      <c r="M1133" s="18">
        <v>1</v>
      </c>
      <c r="N1133" s="133">
        <f t="shared" si="1503"/>
        <v>6</v>
      </c>
      <c r="O1133" s="19">
        <f t="shared" si="1504"/>
        <v>0.5</v>
      </c>
      <c r="P1133" s="8"/>
      <c r="Q1133" s="8"/>
      <c r="R1133" s="8"/>
      <c r="S1133" s="8"/>
      <c r="T1133" s="8"/>
      <c r="U1133" s="8"/>
      <c r="V1133" s="8"/>
      <c r="W1133" s="8"/>
      <c r="X1133" s="8"/>
      <c r="Y1133" s="8"/>
      <c r="Z1133" s="8"/>
    </row>
    <row r="1134" spans="1:26" s="9" customFormat="1" ht="15.75">
      <c r="A1134" s="29" t="s">
        <v>604</v>
      </c>
      <c r="B1134" s="18">
        <v>0</v>
      </c>
      <c r="C1134" s="18">
        <v>0</v>
      </c>
      <c r="D1134" s="18">
        <v>0</v>
      </c>
      <c r="E1134" s="18">
        <v>0</v>
      </c>
      <c r="F1134" s="18">
        <v>0</v>
      </c>
      <c r="G1134" s="18">
        <v>0</v>
      </c>
      <c r="H1134" s="18">
        <v>0</v>
      </c>
      <c r="I1134" s="18">
        <v>0</v>
      </c>
      <c r="J1134" s="18">
        <v>0</v>
      </c>
      <c r="K1134" s="18">
        <v>1</v>
      </c>
      <c r="L1134" s="18">
        <v>0</v>
      </c>
      <c r="M1134" s="18">
        <v>0</v>
      </c>
      <c r="N1134" s="133">
        <f t="shared" si="1503"/>
        <v>1</v>
      </c>
      <c r="O1134" s="19">
        <f t="shared" si="1504"/>
        <v>8.3333333333333329E-2</v>
      </c>
      <c r="P1134" s="10"/>
      <c r="Q1134" s="10"/>
      <c r="R1134" s="10"/>
      <c r="S1134" s="10"/>
      <c r="T1134" s="10"/>
      <c r="U1134" s="10"/>
      <c r="V1134" s="10"/>
      <c r="W1134" s="10"/>
      <c r="X1134" s="10"/>
      <c r="Y1134" s="10"/>
      <c r="Z1134" s="10"/>
    </row>
    <row r="1135" spans="1:26" s="9" customFormat="1" ht="15.75">
      <c r="A1135" s="29" t="s">
        <v>171</v>
      </c>
      <c r="B1135" s="18">
        <v>0</v>
      </c>
      <c r="C1135" s="18">
        <v>0</v>
      </c>
      <c r="D1135" s="18">
        <v>0</v>
      </c>
      <c r="E1135" s="18">
        <v>0</v>
      </c>
      <c r="F1135" s="18">
        <v>0</v>
      </c>
      <c r="G1135" s="18">
        <v>0</v>
      </c>
      <c r="H1135" s="18">
        <v>0</v>
      </c>
      <c r="I1135" s="18">
        <v>0</v>
      </c>
      <c r="J1135" s="18">
        <v>0</v>
      </c>
      <c r="K1135" s="18">
        <v>0</v>
      </c>
      <c r="L1135" s="18">
        <v>0</v>
      </c>
      <c r="M1135" s="18">
        <v>0</v>
      </c>
      <c r="N1135" s="133">
        <f t="shared" si="1503"/>
        <v>0</v>
      </c>
      <c r="O1135" s="19">
        <f t="shared" si="1504"/>
        <v>0</v>
      </c>
      <c r="P1135" s="10"/>
      <c r="Q1135" s="10"/>
      <c r="R1135" s="10"/>
      <c r="S1135" s="10"/>
      <c r="T1135" s="10"/>
      <c r="U1135" s="10"/>
      <c r="V1135" s="10"/>
      <c r="W1135" s="10"/>
      <c r="X1135" s="10"/>
      <c r="Y1135" s="10"/>
      <c r="Z1135" s="10"/>
    </row>
    <row r="1136" spans="1:26" s="9" customFormat="1" ht="15.75">
      <c r="A1136" s="29" t="s">
        <v>164</v>
      </c>
      <c r="B1136" s="18">
        <f>2+12+3</f>
        <v>17</v>
      </c>
      <c r="C1136" s="18">
        <v>15</v>
      </c>
      <c r="D1136" s="18">
        <f>6+12+2</f>
        <v>20</v>
      </c>
      <c r="E1136" s="18">
        <f>13+2</f>
        <v>15</v>
      </c>
      <c r="F1136" s="18">
        <f>6+7+4</f>
        <v>17</v>
      </c>
      <c r="G1136" s="18">
        <v>16</v>
      </c>
      <c r="H1136" s="18">
        <v>18</v>
      </c>
      <c r="I1136" s="18">
        <f>2+13+3</f>
        <v>18</v>
      </c>
      <c r="J1136" s="18">
        <v>24</v>
      </c>
      <c r="K1136" s="18">
        <v>19</v>
      </c>
      <c r="L1136" s="18">
        <v>11</v>
      </c>
      <c r="M1136" s="18">
        <f>17+4+3</f>
        <v>24</v>
      </c>
      <c r="N1136" s="133">
        <f t="shared" si="1503"/>
        <v>214</v>
      </c>
      <c r="O1136" s="19">
        <f t="shared" si="1504"/>
        <v>17.833333333333332</v>
      </c>
      <c r="P1136" s="10"/>
      <c r="Q1136" s="10"/>
      <c r="R1136" s="10"/>
      <c r="S1136" s="10"/>
      <c r="T1136" s="10"/>
      <c r="U1136" s="10"/>
      <c r="V1136" s="10"/>
      <c r="W1136" s="10"/>
      <c r="X1136" s="10"/>
      <c r="Y1136" s="10"/>
      <c r="Z1136" s="10"/>
    </row>
    <row r="1137" spans="1:26" s="9" customFormat="1" ht="15.75">
      <c r="A1137" s="29" t="s">
        <v>22</v>
      </c>
      <c r="B1137" s="18">
        <v>0</v>
      </c>
      <c r="C1137" s="18">
        <v>0</v>
      </c>
      <c r="D1137" s="18">
        <v>0</v>
      </c>
      <c r="E1137" s="18">
        <v>0</v>
      </c>
      <c r="F1137" s="18">
        <v>0</v>
      </c>
      <c r="G1137" s="18">
        <v>0</v>
      </c>
      <c r="H1137" s="18">
        <v>0</v>
      </c>
      <c r="I1137" s="18">
        <v>0</v>
      </c>
      <c r="J1137" s="18">
        <v>0</v>
      </c>
      <c r="K1137" s="18">
        <v>0</v>
      </c>
      <c r="L1137" s="18">
        <v>0</v>
      </c>
      <c r="M1137" s="18">
        <v>0</v>
      </c>
      <c r="N1137" s="133">
        <f t="shared" ref="N1137" si="1505">SUM(B1137:M1137)</f>
        <v>0</v>
      </c>
      <c r="O1137" s="19">
        <f t="shared" ref="O1137" si="1506">IF(N1137=0,0,AVERAGE(B1137:M1137))</f>
        <v>0</v>
      </c>
      <c r="P1137" s="10"/>
      <c r="Q1137" s="10"/>
      <c r="R1137" s="10"/>
      <c r="S1137" s="10"/>
      <c r="T1137" s="10"/>
      <c r="U1137" s="10"/>
      <c r="V1137" s="10"/>
      <c r="W1137" s="10"/>
      <c r="X1137" s="10"/>
      <c r="Y1137" s="10"/>
      <c r="Z1137" s="10"/>
    </row>
    <row r="1138" spans="1:26" s="9" customFormat="1" ht="15.75">
      <c r="A1138" s="56" t="s">
        <v>21</v>
      </c>
      <c r="B1138" s="21">
        <f t="shared" ref="B1138:G1138" si="1507">SUM(B1124:B1137)</f>
        <v>51</v>
      </c>
      <c r="C1138" s="21">
        <f t="shared" si="1507"/>
        <v>61</v>
      </c>
      <c r="D1138" s="21">
        <f t="shared" si="1507"/>
        <v>47</v>
      </c>
      <c r="E1138" s="21">
        <f t="shared" si="1507"/>
        <v>25</v>
      </c>
      <c r="F1138" s="21">
        <f t="shared" si="1507"/>
        <v>67</v>
      </c>
      <c r="G1138" s="21">
        <f t="shared" si="1507"/>
        <v>54</v>
      </c>
      <c r="H1138" s="21">
        <f t="shared" ref="H1138:I1138" si="1508">SUM(H1124:H1137)</f>
        <v>61</v>
      </c>
      <c r="I1138" s="21">
        <f t="shared" si="1508"/>
        <v>52</v>
      </c>
      <c r="J1138" s="21">
        <f t="shared" ref="J1138:K1138" si="1509">SUM(J1124:J1137)</f>
        <v>70</v>
      </c>
      <c r="K1138" s="21">
        <f t="shared" si="1509"/>
        <v>72</v>
      </c>
      <c r="L1138" s="21">
        <f t="shared" ref="L1138:M1138" si="1510">SUM(L1124:L1137)</f>
        <v>40</v>
      </c>
      <c r="M1138" s="21">
        <f t="shared" si="1510"/>
        <v>90</v>
      </c>
      <c r="N1138" s="128">
        <f>SUM(N1124:N1136)</f>
        <v>690</v>
      </c>
      <c r="O1138" s="22">
        <f>SUM(O1124:O1136)</f>
        <v>57.5</v>
      </c>
      <c r="P1138" s="8"/>
      <c r="Q1138" s="8"/>
      <c r="R1138" s="8"/>
      <c r="S1138" s="8"/>
      <c r="T1138" s="8"/>
      <c r="U1138" s="8"/>
      <c r="V1138" s="8"/>
      <c r="W1138" s="8"/>
      <c r="X1138" s="8"/>
      <c r="Y1138" s="8"/>
      <c r="Z1138" s="8"/>
    </row>
    <row r="1139" spans="1:26" s="9" customFormat="1" ht="15.75">
      <c r="A1139" s="56" t="s">
        <v>112</v>
      </c>
      <c r="B1139" s="22">
        <f t="shared" ref="B1139:G1139" si="1511">IF(B1138=0,"",B1138/B$1676)</f>
        <v>1.6451612903225807</v>
      </c>
      <c r="C1139" s="22">
        <f t="shared" si="1511"/>
        <v>2.1785714285714284</v>
      </c>
      <c r="D1139" s="22">
        <f t="shared" si="1511"/>
        <v>1.5161290322580645</v>
      </c>
      <c r="E1139" s="22">
        <f t="shared" si="1511"/>
        <v>0.83333333333333337</v>
      </c>
      <c r="F1139" s="22">
        <f t="shared" si="1511"/>
        <v>2.161290322580645</v>
      </c>
      <c r="G1139" s="22">
        <f t="shared" si="1511"/>
        <v>1.8</v>
      </c>
      <c r="H1139" s="22">
        <f t="shared" ref="H1139:I1139" si="1512">IF(H1138=0,"",H1138/H$1676)</f>
        <v>1.967741935483871</v>
      </c>
      <c r="I1139" s="22">
        <f t="shared" si="1512"/>
        <v>1.6774193548387097</v>
      </c>
      <c r="J1139" s="22">
        <f t="shared" ref="J1139:K1139" si="1513">IF(J1138=0,"",J1138/J$1676)</f>
        <v>2.3333333333333335</v>
      </c>
      <c r="K1139" s="22">
        <f t="shared" si="1513"/>
        <v>2.3225806451612905</v>
      </c>
      <c r="L1139" s="22">
        <f t="shared" ref="L1139:M1139" si="1514">IF(L1138=0,"",L1138/L$1676)</f>
        <v>1.3333333333333333</v>
      </c>
      <c r="M1139" s="22">
        <f t="shared" si="1514"/>
        <v>2.903225806451613</v>
      </c>
      <c r="N1139" s="128">
        <f>SUM(B1139:M1139)</f>
        <v>22.672119815668204</v>
      </c>
      <c r="O1139" s="22">
        <f>IF(N1139=0,0,AVERAGE(B1139:M1139))</f>
        <v>1.8893433179723502</v>
      </c>
      <c r="P1139" s="10"/>
      <c r="Q1139" s="10"/>
      <c r="R1139" s="10"/>
      <c r="S1139" s="10"/>
      <c r="T1139" s="10"/>
      <c r="U1139" s="10"/>
      <c r="V1139" s="10"/>
      <c r="W1139" s="10"/>
      <c r="X1139" s="10"/>
      <c r="Y1139" s="10"/>
      <c r="Z1139" s="10"/>
    </row>
    <row r="1140" spans="1:26" s="9" customFormat="1">
      <c r="A1140" s="23"/>
      <c r="B1140" s="24"/>
      <c r="C1140" s="24"/>
      <c r="D1140" s="24"/>
      <c r="E1140" s="25"/>
      <c r="F1140" s="25"/>
      <c r="G1140" s="25"/>
      <c r="H1140" s="25"/>
      <c r="I1140" s="25"/>
      <c r="J1140" s="25"/>
      <c r="K1140" s="25"/>
      <c r="L1140" s="25"/>
      <c r="M1140" s="25"/>
      <c r="N1140" s="134"/>
      <c r="O1140" s="13"/>
      <c r="P1140" s="8"/>
      <c r="Q1140" s="8"/>
      <c r="R1140" s="8"/>
      <c r="S1140" s="8"/>
      <c r="T1140" s="8"/>
      <c r="U1140" s="8"/>
      <c r="V1140" s="8"/>
      <c r="W1140" s="8"/>
      <c r="X1140" s="8"/>
      <c r="Y1140" s="8"/>
      <c r="Z1140" s="8"/>
    </row>
    <row r="1141" spans="1:26" s="9" customFormat="1" ht="15.75">
      <c r="A1141" s="60" t="s">
        <v>772</v>
      </c>
      <c r="B1141" s="15"/>
      <c r="C1141" s="15"/>
      <c r="D1141" s="15"/>
      <c r="E1141" s="15"/>
      <c r="F1141" s="15"/>
      <c r="G1141" s="15"/>
      <c r="H1141" s="15"/>
      <c r="I1141" s="15"/>
      <c r="J1141" s="15"/>
      <c r="K1141" s="15"/>
      <c r="L1141" s="15"/>
      <c r="M1141" s="15"/>
      <c r="N1141" s="132"/>
      <c r="O1141" s="16"/>
      <c r="P1141" s="8"/>
      <c r="Q1141" s="8"/>
      <c r="R1141" s="8"/>
      <c r="S1141" s="8"/>
      <c r="T1141" s="8"/>
      <c r="U1141" s="8"/>
      <c r="V1141" s="8"/>
      <c r="W1141" s="8"/>
      <c r="X1141" s="8"/>
      <c r="Y1141" s="8"/>
      <c r="Z1141" s="8"/>
    </row>
    <row r="1142" spans="1:26" s="9" customFormat="1" ht="15.75">
      <c r="A1142" s="37" t="s">
        <v>18</v>
      </c>
      <c r="B1142" s="290">
        <v>19</v>
      </c>
      <c r="C1142" s="290">
        <v>21</v>
      </c>
      <c r="D1142" s="290">
        <v>11</v>
      </c>
      <c r="E1142" s="290">
        <v>0</v>
      </c>
      <c r="F1142" s="18">
        <v>30</v>
      </c>
      <c r="G1142" s="18">
        <v>12</v>
      </c>
      <c r="H1142" s="18">
        <v>27</v>
      </c>
      <c r="I1142" s="18">
        <v>13</v>
      </c>
      <c r="J1142" s="18">
        <v>34</v>
      </c>
      <c r="K1142" s="18">
        <v>27</v>
      </c>
      <c r="L1142" s="18">
        <v>10</v>
      </c>
      <c r="M1142" s="18">
        <v>30</v>
      </c>
      <c r="N1142" s="133">
        <f>SUM(B1142:M1142)</f>
        <v>234</v>
      </c>
      <c r="O1142" s="19">
        <f>IF(N1142=0,0,AVERAGE(B1142:M1142))</f>
        <v>19.5</v>
      </c>
      <c r="P1142" s="8"/>
      <c r="Q1142" s="8"/>
      <c r="R1142" s="8"/>
      <c r="S1142" s="8"/>
      <c r="T1142" s="8"/>
      <c r="U1142" s="8"/>
      <c r="V1142" s="8"/>
      <c r="W1142" s="8"/>
      <c r="X1142" s="8"/>
      <c r="Y1142" s="8"/>
      <c r="Z1142" s="8"/>
    </row>
    <row r="1143" spans="1:26" s="9" customFormat="1" ht="15.75">
      <c r="A1143" s="37" t="s">
        <v>19</v>
      </c>
      <c r="B1143" s="290">
        <v>22</v>
      </c>
      <c r="C1143" s="290">
        <v>29</v>
      </c>
      <c r="D1143" s="290">
        <f>11+8+12+2</f>
        <v>33</v>
      </c>
      <c r="E1143" s="290">
        <v>18</v>
      </c>
      <c r="F1143" s="18">
        <v>22</v>
      </c>
      <c r="G1143" s="18">
        <v>34</v>
      </c>
      <c r="H1143" s="18">
        <v>26</v>
      </c>
      <c r="I1143" s="18">
        <v>30</v>
      </c>
      <c r="J1143" s="18">
        <v>26</v>
      </c>
      <c r="K1143" s="18">
        <v>31</v>
      </c>
      <c r="L1143" s="18">
        <v>27</v>
      </c>
      <c r="M1143" s="18">
        <v>46</v>
      </c>
      <c r="N1143" s="133">
        <f>SUM(B1143:M1143)</f>
        <v>344</v>
      </c>
      <c r="O1143" s="19">
        <f>IF(N1143=0,0,AVERAGE(B1143:M1143))</f>
        <v>28.666666666666668</v>
      </c>
      <c r="P1143" s="8"/>
      <c r="Q1143" s="8"/>
      <c r="R1143" s="8"/>
      <c r="S1143" s="8"/>
      <c r="T1143" s="8"/>
      <c r="U1143" s="8"/>
      <c r="V1143" s="8"/>
      <c r="W1143" s="8"/>
      <c r="X1143" s="8"/>
      <c r="Y1143" s="8"/>
      <c r="Z1143" s="8"/>
    </row>
    <row r="1144" spans="1:26" s="9" customFormat="1" ht="15.75">
      <c r="A1144" s="37" t="s">
        <v>20</v>
      </c>
      <c r="B1144" s="290">
        <v>10</v>
      </c>
      <c r="C1144" s="290">
        <v>11</v>
      </c>
      <c r="D1144" s="290">
        <v>3</v>
      </c>
      <c r="E1144" s="290">
        <v>7</v>
      </c>
      <c r="F1144" s="18">
        <v>15</v>
      </c>
      <c r="G1144" s="18">
        <v>8</v>
      </c>
      <c r="H1144" s="18">
        <v>8</v>
      </c>
      <c r="I1144" s="18">
        <v>9</v>
      </c>
      <c r="J1144" s="18">
        <v>10</v>
      </c>
      <c r="K1144" s="18">
        <v>14</v>
      </c>
      <c r="L1144" s="18">
        <v>3</v>
      </c>
      <c r="M1144" s="18">
        <v>14</v>
      </c>
      <c r="N1144" s="133">
        <f>SUM(B1144:M1144)</f>
        <v>112</v>
      </c>
      <c r="O1144" s="19">
        <f>IF(N1144=0,0,AVERAGE(B1144:M1144))</f>
        <v>9.3333333333333339</v>
      </c>
      <c r="P1144" s="10"/>
      <c r="Q1144" s="10"/>
      <c r="R1144" s="10"/>
      <c r="S1144" s="10"/>
      <c r="T1144" s="10"/>
      <c r="U1144" s="10"/>
      <c r="V1144" s="10"/>
      <c r="W1144" s="10"/>
      <c r="X1144" s="10"/>
      <c r="Y1144" s="10"/>
      <c r="Z1144" s="10"/>
    </row>
    <row r="1145" spans="1:26" s="9" customFormat="1" ht="15.75">
      <c r="A1145" s="56" t="s">
        <v>21</v>
      </c>
      <c r="B1145" s="21">
        <f t="shared" ref="B1145:C1145" si="1515">SUM(B1142:B1144)</f>
        <v>51</v>
      </c>
      <c r="C1145" s="21">
        <f t="shared" si="1515"/>
        <v>61</v>
      </c>
      <c r="D1145" s="21">
        <f t="shared" ref="D1145:E1145" si="1516">SUM(D1142:D1144)</f>
        <v>47</v>
      </c>
      <c r="E1145" s="21">
        <f t="shared" si="1516"/>
        <v>25</v>
      </c>
      <c r="F1145" s="21">
        <f t="shared" ref="F1145:G1145" si="1517">SUM(F1142:F1144)</f>
        <v>67</v>
      </c>
      <c r="G1145" s="21">
        <f t="shared" si="1517"/>
        <v>54</v>
      </c>
      <c r="H1145" s="21">
        <f t="shared" ref="H1145:I1145" si="1518">SUM(H1142:H1144)</f>
        <v>61</v>
      </c>
      <c r="I1145" s="21">
        <f t="shared" si="1518"/>
        <v>52</v>
      </c>
      <c r="J1145" s="21">
        <f t="shared" ref="J1145:K1145" si="1519">SUM(J1142:J1144)</f>
        <v>70</v>
      </c>
      <c r="K1145" s="21">
        <f t="shared" si="1519"/>
        <v>72</v>
      </c>
      <c r="L1145" s="21">
        <f t="shared" ref="L1145:M1145" si="1520">SUM(L1142:L1144)</f>
        <v>40</v>
      </c>
      <c r="M1145" s="21">
        <f t="shared" si="1520"/>
        <v>90</v>
      </c>
      <c r="N1145" s="128">
        <f>SUM(N1142:N1144)</f>
        <v>690</v>
      </c>
      <c r="O1145" s="22">
        <f>SUM(O1142:O1144)</f>
        <v>57.500000000000007</v>
      </c>
      <c r="P1145" s="8"/>
      <c r="Q1145" s="8"/>
      <c r="R1145" s="8"/>
      <c r="S1145" s="8"/>
      <c r="T1145" s="8"/>
      <c r="U1145" s="8"/>
      <c r="V1145" s="8"/>
      <c r="W1145" s="8"/>
      <c r="X1145" s="8"/>
      <c r="Y1145" s="8"/>
      <c r="Z1145" s="8"/>
    </row>
    <row r="1146" spans="1:26" s="9" customFormat="1" ht="15.75">
      <c r="A1146" s="56" t="s">
        <v>112</v>
      </c>
      <c r="B1146" s="22">
        <f t="shared" ref="B1146:G1146" si="1521">IF(B1145=0,"",B1145/B$1676)</f>
        <v>1.6451612903225807</v>
      </c>
      <c r="C1146" s="22">
        <f t="shared" si="1521"/>
        <v>2.1785714285714284</v>
      </c>
      <c r="D1146" s="22">
        <f t="shared" si="1521"/>
        <v>1.5161290322580645</v>
      </c>
      <c r="E1146" s="22">
        <f t="shared" si="1521"/>
        <v>0.83333333333333337</v>
      </c>
      <c r="F1146" s="22">
        <f t="shared" si="1521"/>
        <v>2.161290322580645</v>
      </c>
      <c r="G1146" s="22">
        <f t="shared" si="1521"/>
        <v>1.8</v>
      </c>
      <c r="H1146" s="22">
        <f t="shared" ref="H1146:I1146" si="1522">IF(H1145=0,"",H1145/H$1676)</f>
        <v>1.967741935483871</v>
      </c>
      <c r="I1146" s="22">
        <f t="shared" si="1522"/>
        <v>1.6774193548387097</v>
      </c>
      <c r="J1146" s="22">
        <f t="shared" ref="J1146:K1146" si="1523">IF(J1145=0,"",J1145/J$1676)</f>
        <v>2.3333333333333335</v>
      </c>
      <c r="K1146" s="22">
        <f t="shared" si="1523"/>
        <v>2.3225806451612905</v>
      </c>
      <c r="L1146" s="22">
        <f t="shared" ref="L1146:M1146" si="1524">IF(L1145=0,"",L1145/L$1676)</f>
        <v>1.3333333333333333</v>
      </c>
      <c r="M1146" s="22">
        <f t="shared" si="1524"/>
        <v>2.903225806451613</v>
      </c>
      <c r="N1146" s="128">
        <f>SUM(B1146:M1146)</f>
        <v>22.672119815668204</v>
      </c>
      <c r="O1146" s="22">
        <f>IF(N1146=0,0,AVERAGE(B1146:M1146))</f>
        <v>1.8893433179723502</v>
      </c>
      <c r="P1146" s="8"/>
      <c r="Q1146" s="8"/>
      <c r="R1146" s="8"/>
      <c r="S1146" s="8"/>
      <c r="T1146" s="8"/>
      <c r="U1146" s="8"/>
      <c r="V1146" s="8"/>
      <c r="W1146" s="8"/>
      <c r="X1146" s="8"/>
      <c r="Y1146" s="8"/>
      <c r="Z1146" s="8"/>
    </row>
    <row r="1147" spans="1:26" s="9" customFormat="1">
      <c r="A1147" s="23"/>
      <c r="B1147" s="24"/>
      <c r="C1147" s="24"/>
      <c r="D1147" s="24"/>
      <c r="E1147" s="25"/>
      <c r="F1147" s="25"/>
      <c r="G1147" s="25"/>
      <c r="H1147" s="25"/>
      <c r="I1147" s="25"/>
      <c r="J1147" s="25"/>
      <c r="K1147" s="25"/>
      <c r="L1147" s="25"/>
      <c r="M1147" s="25"/>
      <c r="N1147" s="134"/>
      <c r="O1147" s="13"/>
      <c r="P1147" s="8"/>
      <c r="Q1147" s="8"/>
      <c r="R1147" s="8"/>
      <c r="S1147" s="8"/>
      <c r="T1147" s="8"/>
      <c r="U1147" s="8"/>
      <c r="V1147" s="8"/>
      <c r="W1147" s="8"/>
      <c r="X1147" s="8"/>
      <c r="Y1147" s="8"/>
      <c r="Z1147" s="8"/>
    </row>
    <row r="1148" spans="1:26" s="9" customFormat="1" ht="15.75">
      <c r="A1148" s="60" t="s">
        <v>773</v>
      </c>
      <c r="B1148" s="15"/>
      <c r="C1148" s="15"/>
      <c r="D1148" s="15"/>
      <c r="E1148" s="15"/>
      <c r="F1148" s="15"/>
      <c r="G1148" s="15"/>
      <c r="H1148" s="15"/>
      <c r="I1148" s="15"/>
      <c r="J1148" s="15"/>
      <c r="K1148" s="15"/>
      <c r="L1148" s="15"/>
      <c r="M1148" s="15"/>
      <c r="N1148" s="132"/>
      <c r="O1148" s="16"/>
      <c r="P1148" s="8"/>
      <c r="Q1148" s="8"/>
      <c r="R1148" s="8"/>
      <c r="S1148" s="8"/>
      <c r="T1148" s="8"/>
      <c r="U1148" s="8"/>
      <c r="V1148" s="8"/>
      <c r="W1148" s="8"/>
      <c r="X1148" s="8"/>
      <c r="Y1148" s="8"/>
      <c r="Z1148" s="8"/>
    </row>
    <row r="1149" spans="1:26" s="9" customFormat="1" ht="15.75">
      <c r="A1149" s="29" t="s">
        <v>169</v>
      </c>
      <c r="B1149" s="18">
        <v>25</v>
      </c>
      <c r="C1149" s="18">
        <v>12</v>
      </c>
      <c r="D1149" s="18">
        <v>12</v>
      </c>
      <c r="E1149" s="18">
        <v>11</v>
      </c>
      <c r="F1149" s="18">
        <v>21</v>
      </c>
      <c r="G1149" s="18">
        <v>21</v>
      </c>
      <c r="H1149" s="18">
        <v>9</v>
      </c>
      <c r="I1149" s="18">
        <v>19</v>
      </c>
      <c r="J1149" s="18">
        <v>30</v>
      </c>
      <c r="K1149" s="18">
        <v>16</v>
      </c>
      <c r="L1149" s="18">
        <v>11</v>
      </c>
      <c r="M1149" s="18">
        <v>15</v>
      </c>
      <c r="N1149" s="133">
        <f t="shared" ref="N1149:N1161" si="1525">SUM(B1149:M1149)</f>
        <v>202</v>
      </c>
      <c r="O1149" s="19">
        <f t="shared" ref="O1149:O1161" si="1526">IF(N1149=0,0,AVERAGE(B1149:M1149))</f>
        <v>16.833333333333332</v>
      </c>
      <c r="P1149" s="8"/>
      <c r="Q1149" s="8"/>
      <c r="R1149" s="8"/>
      <c r="S1149" s="8"/>
      <c r="T1149" s="8"/>
      <c r="U1149" s="8"/>
      <c r="V1149" s="8"/>
      <c r="W1149" s="8"/>
      <c r="X1149" s="8"/>
      <c r="Y1149" s="8"/>
      <c r="Z1149" s="8"/>
    </row>
    <row r="1150" spans="1:26" s="9" customFormat="1" ht="15.75">
      <c r="A1150" s="29" t="s">
        <v>602</v>
      </c>
      <c r="B1150" s="18">
        <v>1</v>
      </c>
      <c r="C1150" s="18">
        <v>0</v>
      </c>
      <c r="D1150" s="18">
        <v>1</v>
      </c>
      <c r="E1150" s="18">
        <v>0</v>
      </c>
      <c r="F1150" s="18">
        <v>2</v>
      </c>
      <c r="G1150" s="18">
        <v>3</v>
      </c>
      <c r="H1150" s="18">
        <v>0</v>
      </c>
      <c r="I1150" s="18">
        <v>1</v>
      </c>
      <c r="J1150" s="18">
        <v>1</v>
      </c>
      <c r="K1150" s="18">
        <v>1</v>
      </c>
      <c r="L1150" s="18">
        <v>0</v>
      </c>
      <c r="M1150" s="18">
        <v>0</v>
      </c>
      <c r="N1150" s="133">
        <f t="shared" si="1525"/>
        <v>10</v>
      </c>
      <c r="O1150" s="19">
        <f t="shared" si="1526"/>
        <v>0.83333333333333337</v>
      </c>
      <c r="P1150" s="8"/>
      <c r="Q1150" s="8"/>
      <c r="R1150" s="8"/>
      <c r="S1150" s="8"/>
      <c r="T1150" s="8"/>
      <c r="U1150" s="8"/>
      <c r="V1150" s="8"/>
      <c r="W1150" s="8"/>
      <c r="X1150" s="8"/>
      <c r="Y1150" s="8"/>
      <c r="Z1150" s="8"/>
    </row>
    <row r="1151" spans="1:26" s="9" customFormat="1" ht="15.75">
      <c r="A1151" s="29" t="s">
        <v>603</v>
      </c>
      <c r="B1151" s="18">
        <v>1</v>
      </c>
      <c r="C1151" s="18">
        <v>0</v>
      </c>
      <c r="D1151" s="18">
        <v>0</v>
      </c>
      <c r="E1151" s="18">
        <v>0</v>
      </c>
      <c r="F1151" s="18">
        <v>0</v>
      </c>
      <c r="G1151" s="18">
        <v>0</v>
      </c>
      <c r="H1151" s="18">
        <v>0</v>
      </c>
      <c r="I1151" s="18">
        <v>0</v>
      </c>
      <c r="J1151" s="18">
        <v>2</v>
      </c>
      <c r="K1151" s="18">
        <v>0</v>
      </c>
      <c r="L1151" s="18">
        <v>0</v>
      </c>
      <c r="M1151" s="18">
        <v>0</v>
      </c>
      <c r="N1151" s="133">
        <f t="shared" si="1525"/>
        <v>3</v>
      </c>
      <c r="O1151" s="19">
        <f t="shared" si="1526"/>
        <v>0.25</v>
      </c>
      <c r="P1151" s="10"/>
      <c r="Q1151" s="10"/>
      <c r="R1151" s="10"/>
      <c r="S1151" s="10"/>
      <c r="T1151" s="10"/>
      <c r="U1151" s="10"/>
      <c r="V1151" s="10"/>
      <c r="W1151" s="10"/>
      <c r="X1151" s="10"/>
      <c r="Y1151" s="10"/>
      <c r="Z1151" s="10"/>
    </row>
    <row r="1152" spans="1:26" s="9" customFormat="1" ht="15.75">
      <c r="A1152" s="29" t="s">
        <v>157</v>
      </c>
      <c r="B1152" s="18">
        <v>5</v>
      </c>
      <c r="C1152" s="18">
        <v>0</v>
      </c>
      <c r="D1152" s="18">
        <v>1</v>
      </c>
      <c r="E1152" s="18">
        <v>2</v>
      </c>
      <c r="F1152" s="18">
        <v>1</v>
      </c>
      <c r="G1152" s="18">
        <v>0</v>
      </c>
      <c r="H1152" s="18">
        <v>1</v>
      </c>
      <c r="I1152" s="18">
        <v>2</v>
      </c>
      <c r="J1152" s="18">
        <v>2</v>
      </c>
      <c r="K1152" s="18">
        <v>2</v>
      </c>
      <c r="L1152" s="18">
        <v>1</v>
      </c>
      <c r="M1152" s="18">
        <v>2</v>
      </c>
      <c r="N1152" s="133">
        <f t="shared" si="1525"/>
        <v>19</v>
      </c>
      <c r="O1152" s="19">
        <f t="shared" si="1526"/>
        <v>1.5833333333333333</v>
      </c>
      <c r="P1152" s="8"/>
      <c r="Q1152" s="8"/>
      <c r="R1152" s="8"/>
      <c r="S1152" s="8"/>
      <c r="T1152" s="8"/>
      <c r="U1152" s="8"/>
      <c r="V1152" s="8"/>
      <c r="W1152" s="8"/>
      <c r="X1152" s="8"/>
      <c r="Y1152" s="8"/>
      <c r="Z1152" s="8"/>
    </row>
    <row r="1153" spans="1:26" s="9" customFormat="1" ht="15.75">
      <c r="A1153" s="29" t="s">
        <v>597</v>
      </c>
      <c r="B1153" s="18">
        <v>8</v>
      </c>
      <c r="C1153" s="18">
        <v>2</v>
      </c>
      <c r="D1153" s="18">
        <v>5</v>
      </c>
      <c r="E1153" s="18">
        <v>1</v>
      </c>
      <c r="F1153" s="18">
        <v>3</v>
      </c>
      <c r="G1153" s="18">
        <v>1</v>
      </c>
      <c r="H1153" s="18">
        <v>3</v>
      </c>
      <c r="I1153" s="18">
        <v>2</v>
      </c>
      <c r="J1153" s="18">
        <v>5</v>
      </c>
      <c r="K1153" s="18">
        <v>2</v>
      </c>
      <c r="L1153" s="18">
        <v>0</v>
      </c>
      <c r="M1153" s="18">
        <v>4</v>
      </c>
      <c r="N1153" s="133">
        <f t="shared" si="1525"/>
        <v>36</v>
      </c>
      <c r="O1153" s="19">
        <f t="shared" si="1526"/>
        <v>3</v>
      </c>
      <c r="P1153" s="8"/>
      <c r="Q1153" s="8"/>
      <c r="R1153" s="8"/>
      <c r="S1153" s="8"/>
      <c r="T1153" s="8"/>
      <c r="U1153" s="8"/>
      <c r="V1153" s="8"/>
      <c r="W1153" s="8"/>
      <c r="X1153" s="8"/>
      <c r="Y1153" s="8"/>
      <c r="Z1153" s="8"/>
    </row>
    <row r="1154" spans="1:26" s="9" customFormat="1" ht="15.75">
      <c r="A1154" s="29" t="s">
        <v>379</v>
      </c>
      <c r="B1154" s="18">
        <v>0</v>
      </c>
      <c r="C1154" s="18">
        <v>1</v>
      </c>
      <c r="D1154" s="18">
        <v>3</v>
      </c>
      <c r="E1154" s="18">
        <v>1</v>
      </c>
      <c r="F1154" s="18">
        <v>1</v>
      </c>
      <c r="G1154" s="18">
        <v>2</v>
      </c>
      <c r="H1154" s="18">
        <v>2</v>
      </c>
      <c r="I1154" s="18">
        <v>0</v>
      </c>
      <c r="J1154" s="18">
        <v>2</v>
      </c>
      <c r="K1154" s="18">
        <v>0</v>
      </c>
      <c r="L1154" s="18">
        <v>0</v>
      </c>
      <c r="M1154" s="18">
        <v>1</v>
      </c>
      <c r="N1154" s="133">
        <f t="shared" si="1525"/>
        <v>13</v>
      </c>
      <c r="O1154" s="19">
        <f t="shared" si="1526"/>
        <v>1.0833333333333333</v>
      </c>
      <c r="P1154" s="8"/>
      <c r="Q1154" s="8"/>
      <c r="R1154" s="8"/>
      <c r="S1154" s="8"/>
      <c r="T1154" s="8"/>
      <c r="U1154" s="8"/>
      <c r="V1154" s="8"/>
      <c r="W1154" s="8"/>
      <c r="X1154" s="8"/>
      <c r="Y1154" s="8"/>
      <c r="Z1154" s="8"/>
    </row>
    <row r="1155" spans="1:26" s="9" customFormat="1" ht="15.75">
      <c r="A1155" s="29" t="s">
        <v>159</v>
      </c>
      <c r="B1155" s="18">
        <v>5</v>
      </c>
      <c r="C1155" s="18">
        <v>5</v>
      </c>
      <c r="D1155" s="18">
        <v>10</v>
      </c>
      <c r="E1155" s="18">
        <v>9</v>
      </c>
      <c r="F1155" s="18">
        <v>13</v>
      </c>
      <c r="G1155" s="18">
        <v>11</v>
      </c>
      <c r="H1155" s="18">
        <v>9</v>
      </c>
      <c r="I1155" s="18">
        <v>11</v>
      </c>
      <c r="J1155" s="18">
        <v>10</v>
      </c>
      <c r="K1155" s="18">
        <v>7</v>
      </c>
      <c r="L1155" s="18">
        <v>5</v>
      </c>
      <c r="M1155" s="18">
        <v>5</v>
      </c>
      <c r="N1155" s="133">
        <f t="shared" si="1525"/>
        <v>100</v>
      </c>
      <c r="O1155" s="19">
        <f t="shared" si="1526"/>
        <v>8.3333333333333339</v>
      </c>
      <c r="P1155" s="8"/>
      <c r="Q1155" s="8"/>
      <c r="R1155" s="8"/>
      <c r="S1155" s="8"/>
      <c r="T1155" s="8"/>
      <c r="U1155" s="8"/>
      <c r="V1155" s="8"/>
      <c r="W1155" s="8"/>
      <c r="X1155" s="8"/>
      <c r="Y1155" s="8"/>
      <c r="Z1155" s="8"/>
    </row>
    <row r="1156" spans="1:26" s="9" customFormat="1" ht="15.75">
      <c r="A1156" s="29" t="s">
        <v>170</v>
      </c>
      <c r="B1156" s="18">
        <v>1</v>
      </c>
      <c r="C1156" s="18">
        <v>3</v>
      </c>
      <c r="D1156" s="18">
        <v>2</v>
      </c>
      <c r="E1156" s="18">
        <v>0</v>
      </c>
      <c r="F1156" s="18">
        <v>1</v>
      </c>
      <c r="G1156" s="18">
        <v>1</v>
      </c>
      <c r="H1156" s="18">
        <v>0</v>
      </c>
      <c r="I1156" s="18">
        <v>2</v>
      </c>
      <c r="J1156" s="18">
        <v>3</v>
      </c>
      <c r="K1156" s="18">
        <v>3</v>
      </c>
      <c r="L1156" s="18">
        <v>3</v>
      </c>
      <c r="M1156" s="18">
        <v>3</v>
      </c>
      <c r="N1156" s="133">
        <f t="shared" si="1525"/>
        <v>22</v>
      </c>
      <c r="O1156" s="19">
        <f t="shared" si="1526"/>
        <v>1.8333333333333333</v>
      </c>
      <c r="P1156" s="8"/>
      <c r="Q1156" s="8"/>
      <c r="R1156" s="8"/>
      <c r="S1156" s="8"/>
      <c r="T1156" s="8"/>
      <c r="U1156" s="8"/>
      <c r="V1156" s="8"/>
      <c r="W1156" s="8"/>
      <c r="X1156" s="8"/>
      <c r="Y1156" s="8"/>
      <c r="Z1156" s="8"/>
    </row>
    <row r="1157" spans="1:26" s="9" customFormat="1" ht="15.75">
      <c r="A1157" s="29" t="s">
        <v>684</v>
      </c>
      <c r="B1157" s="18">
        <v>23</v>
      </c>
      <c r="C1157" s="18">
        <v>8</v>
      </c>
      <c r="D1157" s="18">
        <v>13</v>
      </c>
      <c r="E1157" s="18">
        <v>10</v>
      </c>
      <c r="F1157" s="18">
        <v>16</v>
      </c>
      <c r="G1157" s="18">
        <v>13</v>
      </c>
      <c r="H1157" s="18">
        <v>8</v>
      </c>
      <c r="I1157" s="18">
        <v>16</v>
      </c>
      <c r="J1157" s="18">
        <v>24</v>
      </c>
      <c r="K1157" s="18">
        <v>13</v>
      </c>
      <c r="L1157" s="18">
        <v>9</v>
      </c>
      <c r="M1157" s="18">
        <v>14</v>
      </c>
      <c r="N1157" s="133">
        <f t="shared" si="1525"/>
        <v>167</v>
      </c>
      <c r="O1157" s="19">
        <f t="shared" si="1526"/>
        <v>13.916666666666666</v>
      </c>
      <c r="P1157" s="8"/>
      <c r="Q1157" s="8"/>
      <c r="R1157" s="8"/>
      <c r="S1157" s="8"/>
      <c r="T1157" s="8"/>
      <c r="U1157" s="8"/>
      <c r="V1157" s="8"/>
      <c r="W1157" s="8"/>
      <c r="X1157" s="8"/>
      <c r="Y1157" s="8"/>
      <c r="Z1157" s="8"/>
    </row>
    <row r="1158" spans="1:26" s="9" customFormat="1" ht="15.75">
      <c r="A1158" s="29" t="s">
        <v>288</v>
      </c>
      <c r="B1158" s="18">
        <v>4</v>
      </c>
      <c r="C1158" s="18">
        <v>6</v>
      </c>
      <c r="D1158" s="18">
        <v>9</v>
      </c>
      <c r="E1158" s="18">
        <v>7</v>
      </c>
      <c r="F1158" s="18">
        <v>9</v>
      </c>
      <c r="G1158" s="18">
        <v>17</v>
      </c>
      <c r="H1158" s="18">
        <v>5</v>
      </c>
      <c r="I1158" s="18">
        <v>10</v>
      </c>
      <c r="J1158" s="18">
        <v>13</v>
      </c>
      <c r="K1158" s="18">
        <v>12</v>
      </c>
      <c r="L1158" s="18">
        <v>7</v>
      </c>
      <c r="M1158" s="18">
        <v>11</v>
      </c>
      <c r="N1158" s="133">
        <f t="shared" si="1525"/>
        <v>110</v>
      </c>
      <c r="O1158" s="19">
        <f t="shared" si="1526"/>
        <v>9.1666666666666661</v>
      </c>
      <c r="P1158" s="8"/>
      <c r="Q1158" s="8"/>
      <c r="R1158" s="8"/>
      <c r="S1158" s="8"/>
      <c r="T1158" s="8"/>
      <c r="U1158" s="8"/>
      <c r="V1158" s="8"/>
      <c r="W1158" s="8"/>
      <c r="X1158" s="8"/>
      <c r="Y1158" s="8"/>
      <c r="Z1158" s="8"/>
    </row>
    <row r="1159" spans="1:26" s="9" customFormat="1" ht="15.75">
      <c r="A1159" s="29" t="s">
        <v>604</v>
      </c>
      <c r="B1159" s="18">
        <v>0</v>
      </c>
      <c r="C1159" s="18">
        <v>0</v>
      </c>
      <c r="D1159" s="18">
        <v>0</v>
      </c>
      <c r="E1159" s="18">
        <v>0</v>
      </c>
      <c r="F1159" s="18">
        <v>0</v>
      </c>
      <c r="G1159" s="18">
        <v>0</v>
      </c>
      <c r="H1159" s="18">
        <v>0</v>
      </c>
      <c r="I1159" s="18">
        <v>0</v>
      </c>
      <c r="J1159" s="18">
        <v>0</v>
      </c>
      <c r="K1159" s="18">
        <v>0</v>
      </c>
      <c r="L1159" s="18">
        <v>0</v>
      </c>
      <c r="M1159" s="18">
        <v>0</v>
      </c>
      <c r="N1159" s="133">
        <f t="shared" si="1525"/>
        <v>0</v>
      </c>
      <c r="O1159" s="19">
        <f t="shared" si="1526"/>
        <v>0</v>
      </c>
      <c r="P1159" s="8"/>
      <c r="Q1159" s="8"/>
      <c r="R1159" s="8"/>
      <c r="S1159" s="8"/>
      <c r="T1159" s="8"/>
      <c r="U1159" s="8"/>
      <c r="V1159" s="8"/>
      <c r="W1159" s="8"/>
      <c r="X1159" s="8"/>
      <c r="Y1159" s="8"/>
      <c r="Z1159" s="8"/>
    </row>
    <row r="1160" spans="1:26" s="9" customFormat="1" ht="15.75">
      <c r="A1160" s="29" t="s">
        <v>171</v>
      </c>
      <c r="B1160" s="18">
        <v>0</v>
      </c>
      <c r="C1160" s="18">
        <v>0</v>
      </c>
      <c r="D1160" s="18">
        <v>0</v>
      </c>
      <c r="E1160" s="18">
        <v>0</v>
      </c>
      <c r="F1160" s="18">
        <v>0</v>
      </c>
      <c r="G1160" s="18">
        <v>0</v>
      </c>
      <c r="H1160" s="18">
        <v>0</v>
      </c>
      <c r="I1160" s="18">
        <v>0</v>
      </c>
      <c r="J1160" s="18">
        <v>0</v>
      </c>
      <c r="K1160" s="18">
        <v>0</v>
      </c>
      <c r="L1160" s="18">
        <v>0</v>
      </c>
      <c r="M1160" s="18">
        <v>0</v>
      </c>
      <c r="N1160" s="133">
        <f t="shared" si="1525"/>
        <v>0</v>
      </c>
      <c r="O1160" s="19">
        <f t="shared" si="1526"/>
        <v>0</v>
      </c>
      <c r="P1160" s="8"/>
      <c r="Q1160" s="8"/>
      <c r="R1160" s="8"/>
      <c r="S1160" s="8"/>
      <c r="T1160" s="8"/>
      <c r="U1160" s="8"/>
      <c r="V1160" s="8"/>
      <c r="W1160" s="8"/>
      <c r="X1160" s="8"/>
      <c r="Y1160" s="8"/>
      <c r="Z1160" s="8"/>
    </row>
    <row r="1161" spans="1:26" s="9" customFormat="1" ht="15.75">
      <c r="A1161" s="29" t="s">
        <v>164</v>
      </c>
      <c r="B1161" s="18">
        <v>29</v>
      </c>
      <c r="C1161" s="18">
        <v>46</v>
      </c>
      <c r="D1161" s="18">
        <v>47</v>
      </c>
      <c r="E1161" s="18">
        <v>37</v>
      </c>
      <c r="F1161" s="18">
        <v>56</v>
      </c>
      <c r="G1161" s="18">
        <v>56</v>
      </c>
      <c r="H1161" s="18">
        <v>24</v>
      </c>
      <c r="I1161" s="18">
        <v>45</v>
      </c>
      <c r="J1161" s="18">
        <v>58</v>
      </c>
      <c r="K1161" s="18">
        <v>66</v>
      </c>
      <c r="L1161" s="18">
        <v>33</v>
      </c>
      <c r="M1161" s="18">
        <v>54</v>
      </c>
      <c r="N1161" s="133">
        <f t="shared" si="1525"/>
        <v>551</v>
      </c>
      <c r="O1161" s="19">
        <f t="shared" si="1526"/>
        <v>45.916666666666664</v>
      </c>
      <c r="P1161" s="8"/>
      <c r="Q1161" s="8"/>
      <c r="R1161" s="8"/>
      <c r="S1161" s="8"/>
      <c r="T1161" s="8"/>
      <c r="U1161" s="8"/>
      <c r="V1161" s="8"/>
      <c r="W1161" s="8"/>
      <c r="X1161" s="8"/>
      <c r="Y1161" s="8"/>
      <c r="Z1161" s="8"/>
    </row>
    <row r="1162" spans="1:26" s="9" customFormat="1" ht="15.75">
      <c r="A1162" s="29" t="s">
        <v>22</v>
      </c>
      <c r="B1162" s="18">
        <v>0</v>
      </c>
      <c r="C1162" s="18">
        <v>1</v>
      </c>
      <c r="D1162" s="18">
        <v>0</v>
      </c>
      <c r="E1162" s="18">
        <v>0</v>
      </c>
      <c r="F1162" s="18">
        <v>0</v>
      </c>
      <c r="G1162" s="18">
        <v>0</v>
      </c>
      <c r="H1162" s="18">
        <v>0</v>
      </c>
      <c r="I1162" s="18">
        <v>0</v>
      </c>
      <c r="J1162" s="18">
        <v>0</v>
      </c>
      <c r="K1162" s="18">
        <v>0</v>
      </c>
      <c r="L1162" s="18">
        <v>0</v>
      </c>
      <c r="M1162" s="18">
        <v>0</v>
      </c>
      <c r="N1162" s="133">
        <f t="shared" ref="N1162" si="1527">SUM(B1162:M1162)</f>
        <v>1</v>
      </c>
      <c r="O1162" s="19">
        <f t="shared" ref="O1162" si="1528">IF(N1162=0,0,AVERAGE(B1162:M1162))</f>
        <v>8.3333333333333329E-2</v>
      </c>
      <c r="P1162" s="106"/>
      <c r="Q1162" s="106"/>
      <c r="R1162" s="106"/>
      <c r="S1162" s="106"/>
      <c r="T1162" s="106"/>
      <c r="U1162" s="106"/>
      <c r="V1162" s="106"/>
      <c r="W1162" s="106"/>
      <c r="X1162" s="106"/>
      <c r="Y1162" s="106"/>
      <c r="Z1162" s="106"/>
    </row>
    <row r="1163" spans="1:26" s="9" customFormat="1" ht="15.75">
      <c r="A1163" s="56" t="s">
        <v>21</v>
      </c>
      <c r="B1163" s="21">
        <f t="shared" ref="B1163:C1163" si="1529">SUM(B1149:B1162)</f>
        <v>102</v>
      </c>
      <c r="C1163" s="21">
        <f t="shared" si="1529"/>
        <v>84</v>
      </c>
      <c r="D1163" s="21">
        <f t="shared" ref="D1163:E1163" si="1530">SUM(D1149:D1162)</f>
        <v>103</v>
      </c>
      <c r="E1163" s="21">
        <f t="shared" si="1530"/>
        <v>78</v>
      </c>
      <c r="F1163" s="21">
        <f t="shared" ref="F1163:G1163" si="1531">SUM(F1149:F1162)</f>
        <v>123</v>
      </c>
      <c r="G1163" s="21">
        <f t="shared" si="1531"/>
        <v>125</v>
      </c>
      <c r="H1163" s="21">
        <f t="shared" ref="H1163:I1163" si="1532">SUM(H1149:H1162)</f>
        <v>61</v>
      </c>
      <c r="I1163" s="21">
        <f t="shared" si="1532"/>
        <v>108</v>
      </c>
      <c r="J1163" s="21">
        <f t="shared" ref="J1163:K1163" si="1533">SUM(J1149:J1162)</f>
        <v>150</v>
      </c>
      <c r="K1163" s="21">
        <f t="shared" si="1533"/>
        <v>122</v>
      </c>
      <c r="L1163" s="21">
        <f t="shared" ref="L1163:M1163" si="1534">SUM(L1149:L1162)</f>
        <v>69</v>
      </c>
      <c r="M1163" s="21">
        <f t="shared" si="1534"/>
        <v>109</v>
      </c>
      <c r="N1163" s="128">
        <f>SUM(N1149:N1161)</f>
        <v>1233</v>
      </c>
      <c r="O1163" s="22">
        <f>SUM(O1149:O1161)</f>
        <v>102.75</v>
      </c>
      <c r="P1163" s="8"/>
      <c r="Q1163" s="8"/>
      <c r="R1163" s="8"/>
      <c r="S1163" s="8"/>
      <c r="T1163" s="8"/>
      <c r="U1163" s="8"/>
      <c r="V1163" s="8"/>
      <c r="W1163" s="8"/>
      <c r="X1163" s="8"/>
      <c r="Y1163" s="8"/>
      <c r="Z1163" s="8"/>
    </row>
    <row r="1164" spans="1:26" s="9" customFormat="1" ht="15.75">
      <c r="A1164" s="56" t="s">
        <v>112</v>
      </c>
      <c r="B1164" s="22">
        <f t="shared" ref="B1164:G1164" si="1535">IF(B1163=0,"",B1163/B$1676)</f>
        <v>3.2903225806451615</v>
      </c>
      <c r="C1164" s="22">
        <f t="shared" si="1535"/>
        <v>3</v>
      </c>
      <c r="D1164" s="22">
        <f t="shared" si="1535"/>
        <v>3.3225806451612905</v>
      </c>
      <c r="E1164" s="22">
        <f t="shared" si="1535"/>
        <v>2.6</v>
      </c>
      <c r="F1164" s="22">
        <f t="shared" si="1535"/>
        <v>3.967741935483871</v>
      </c>
      <c r="G1164" s="22">
        <f t="shared" si="1535"/>
        <v>4.166666666666667</v>
      </c>
      <c r="H1164" s="22">
        <f t="shared" ref="H1164:I1164" si="1536">IF(H1163=0,"",H1163/H$1676)</f>
        <v>1.967741935483871</v>
      </c>
      <c r="I1164" s="22">
        <f t="shared" si="1536"/>
        <v>3.4838709677419355</v>
      </c>
      <c r="J1164" s="22">
        <f t="shared" ref="J1164:K1164" si="1537">IF(J1163=0,"",J1163/J$1676)</f>
        <v>5</v>
      </c>
      <c r="K1164" s="22">
        <f t="shared" si="1537"/>
        <v>3.935483870967742</v>
      </c>
      <c r="L1164" s="22">
        <f t="shared" ref="L1164:M1164" si="1538">IF(L1163=0,"",L1163/L$1676)</f>
        <v>2.2999999999999998</v>
      </c>
      <c r="M1164" s="22">
        <f t="shared" si="1538"/>
        <v>3.5161290322580645</v>
      </c>
      <c r="N1164" s="128">
        <f>SUM(B1164:M1164)</f>
        <v>40.550537634408599</v>
      </c>
      <c r="O1164" s="22">
        <f>IF(N1164=0,0,AVERAGE(B1164:M1164))</f>
        <v>3.37921146953405</v>
      </c>
      <c r="P1164" s="8"/>
      <c r="Q1164" s="8"/>
      <c r="R1164" s="8"/>
      <c r="S1164" s="8"/>
      <c r="T1164" s="8"/>
      <c r="U1164" s="8"/>
      <c r="V1164" s="8"/>
      <c r="W1164" s="8"/>
      <c r="X1164" s="8"/>
      <c r="Y1164" s="8"/>
      <c r="Z1164" s="8"/>
    </row>
    <row r="1165" spans="1:26" s="9" customFormat="1">
      <c r="A1165" s="23"/>
      <c r="B1165" s="24"/>
      <c r="C1165" s="24"/>
      <c r="D1165" s="24"/>
      <c r="E1165" s="24"/>
      <c r="F1165" s="24"/>
      <c r="G1165" s="24"/>
      <c r="H1165" s="24"/>
      <c r="I1165" s="24"/>
      <c r="J1165" s="24"/>
      <c r="K1165" s="25"/>
      <c r="L1165" s="25"/>
      <c r="M1165" s="25"/>
      <c r="N1165" s="134"/>
      <c r="O1165" s="13"/>
      <c r="P1165" s="8"/>
      <c r="Q1165" s="8"/>
      <c r="R1165" s="8"/>
      <c r="S1165" s="8"/>
      <c r="T1165" s="8"/>
      <c r="U1165" s="8"/>
      <c r="V1165" s="8"/>
      <c r="W1165" s="8"/>
      <c r="X1165" s="8"/>
      <c r="Y1165" s="8"/>
      <c r="Z1165" s="8"/>
    </row>
    <row r="1166" spans="1:26" s="9" customFormat="1" ht="15.75">
      <c r="A1166" s="85" t="s">
        <v>153</v>
      </c>
      <c r="B1166" s="86">
        <f t="shared" ref="B1166:C1166" si="1539">B1145</f>
        <v>51</v>
      </c>
      <c r="C1166" s="86">
        <f t="shared" si="1539"/>
        <v>61</v>
      </c>
      <c r="D1166" s="86">
        <f t="shared" ref="D1166:E1166" si="1540">D1145</f>
        <v>47</v>
      </c>
      <c r="E1166" s="86">
        <f t="shared" si="1540"/>
        <v>25</v>
      </c>
      <c r="F1166" s="86">
        <f t="shared" ref="F1166:G1166" si="1541">F1145</f>
        <v>67</v>
      </c>
      <c r="G1166" s="86">
        <f t="shared" si="1541"/>
        <v>54</v>
      </c>
      <c r="H1166" s="86">
        <f t="shared" ref="H1166:I1166" si="1542">H1145</f>
        <v>61</v>
      </c>
      <c r="I1166" s="86">
        <f t="shared" si="1542"/>
        <v>52</v>
      </c>
      <c r="J1166" s="86">
        <f t="shared" ref="J1166:K1166" si="1543">J1145</f>
        <v>70</v>
      </c>
      <c r="K1166" s="86">
        <f t="shared" si="1543"/>
        <v>72</v>
      </c>
      <c r="L1166" s="86">
        <f t="shared" ref="L1166:M1166" si="1544">L1145</f>
        <v>40</v>
      </c>
      <c r="M1166" s="86">
        <f t="shared" si="1544"/>
        <v>90</v>
      </c>
      <c r="N1166" s="133">
        <f>N1138</f>
        <v>690</v>
      </c>
      <c r="O1166" s="19">
        <f>O1138</f>
        <v>57.5</v>
      </c>
      <c r="P1166" s="8"/>
      <c r="Q1166" s="8"/>
      <c r="R1166" s="8"/>
      <c r="S1166" s="8"/>
      <c r="T1166" s="8"/>
      <c r="U1166" s="8"/>
      <c r="V1166" s="8"/>
      <c r="W1166" s="8"/>
      <c r="X1166" s="8"/>
      <c r="Y1166" s="8"/>
      <c r="Z1166" s="8"/>
    </row>
    <row r="1167" spans="1:26" s="9" customFormat="1" ht="15.75">
      <c r="A1167" s="85" t="s">
        <v>154</v>
      </c>
      <c r="B1167" s="86">
        <f t="shared" ref="B1167:C1167" si="1545">B1163</f>
        <v>102</v>
      </c>
      <c r="C1167" s="86">
        <f t="shared" si="1545"/>
        <v>84</v>
      </c>
      <c r="D1167" s="86">
        <f t="shared" ref="D1167:E1167" si="1546">D1163</f>
        <v>103</v>
      </c>
      <c r="E1167" s="86">
        <f t="shared" si="1546"/>
        <v>78</v>
      </c>
      <c r="F1167" s="86">
        <f t="shared" ref="F1167:G1167" si="1547">F1163</f>
        <v>123</v>
      </c>
      <c r="G1167" s="86">
        <f t="shared" si="1547"/>
        <v>125</v>
      </c>
      <c r="H1167" s="86">
        <f t="shared" ref="H1167:I1167" si="1548">H1163</f>
        <v>61</v>
      </c>
      <c r="I1167" s="86">
        <f t="shared" si="1548"/>
        <v>108</v>
      </c>
      <c r="J1167" s="86">
        <f t="shared" ref="J1167:K1167" si="1549">J1163</f>
        <v>150</v>
      </c>
      <c r="K1167" s="86">
        <f t="shared" si="1549"/>
        <v>122</v>
      </c>
      <c r="L1167" s="86">
        <f t="shared" ref="L1167:M1167" si="1550">L1163</f>
        <v>69</v>
      </c>
      <c r="M1167" s="86">
        <f t="shared" si="1550"/>
        <v>109</v>
      </c>
      <c r="N1167" s="133">
        <f>N1163</f>
        <v>1233</v>
      </c>
      <c r="O1167" s="19">
        <f>O1163</f>
        <v>102.75</v>
      </c>
      <c r="P1167" s="10"/>
      <c r="Q1167" s="10"/>
      <c r="R1167" s="10"/>
      <c r="S1167" s="10"/>
      <c r="T1167" s="10"/>
      <c r="U1167" s="10"/>
      <c r="V1167" s="10"/>
      <c r="W1167" s="10"/>
      <c r="X1167" s="10"/>
      <c r="Y1167" s="10"/>
      <c r="Z1167" s="10"/>
    </row>
    <row r="1168" spans="1:26" s="9" customFormat="1" ht="15.75">
      <c r="A1168" s="342" t="s">
        <v>155</v>
      </c>
      <c r="B1168" s="333">
        <f t="shared" ref="B1168:C1168" si="1551">SUM(B1166:B1167)</f>
        <v>153</v>
      </c>
      <c r="C1168" s="333">
        <f t="shared" si="1551"/>
        <v>145</v>
      </c>
      <c r="D1168" s="333">
        <f t="shared" ref="D1168:E1168" si="1552">SUM(D1166:D1167)</f>
        <v>150</v>
      </c>
      <c r="E1168" s="333">
        <f t="shared" si="1552"/>
        <v>103</v>
      </c>
      <c r="F1168" s="333">
        <f t="shared" ref="F1168:G1168" si="1553">SUM(F1166:F1167)</f>
        <v>190</v>
      </c>
      <c r="G1168" s="333">
        <f t="shared" si="1553"/>
        <v>179</v>
      </c>
      <c r="H1168" s="333">
        <f t="shared" ref="H1168:I1168" si="1554">SUM(H1166:H1167)</f>
        <v>122</v>
      </c>
      <c r="I1168" s="333">
        <f t="shared" si="1554"/>
        <v>160</v>
      </c>
      <c r="J1168" s="333">
        <f t="shared" ref="J1168:K1168" si="1555">SUM(J1166:J1167)</f>
        <v>220</v>
      </c>
      <c r="K1168" s="333">
        <f t="shared" si="1555"/>
        <v>194</v>
      </c>
      <c r="L1168" s="333">
        <f t="shared" ref="L1168:M1168" si="1556">SUM(L1166:L1167)</f>
        <v>109</v>
      </c>
      <c r="M1168" s="333">
        <f t="shared" si="1556"/>
        <v>199</v>
      </c>
      <c r="N1168" s="334">
        <f>SUM(N1166:N1167)</f>
        <v>1923</v>
      </c>
      <c r="O1168" s="335">
        <f>SUM(O1166:O1167)</f>
        <v>160.25</v>
      </c>
      <c r="P1168" s="8"/>
      <c r="Q1168" s="8"/>
      <c r="R1168" s="8"/>
      <c r="S1168" s="8"/>
      <c r="T1168" s="8"/>
      <c r="U1168" s="8"/>
      <c r="V1168" s="8"/>
      <c r="W1168" s="8"/>
      <c r="X1168" s="8"/>
      <c r="Y1168" s="8"/>
      <c r="Z1168" s="8"/>
    </row>
    <row r="1169" spans="1:26" s="9" customFormat="1" ht="15.75">
      <c r="A1169" s="82"/>
      <c r="B1169" s="83"/>
      <c r="C1169" s="83"/>
      <c r="D1169" s="83"/>
      <c r="E1169" s="83"/>
      <c r="F1169" s="83"/>
      <c r="G1169" s="83"/>
      <c r="H1169" s="83"/>
      <c r="I1169" s="83"/>
      <c r="J1169" s="83"/>
      <c r="K1169" s="83"/>
      <c r="L1169" s="83"/>
      <c r="M1169" s="83"/>
      <c r="N1169" s="148"/>
      <c r="O1169" s="84"/>
      <c r="P1169" s="8"/>
      <c r="Q1169" s="8"/>
      <c r="R1169" s="8"/>
      <c r="S1169" s="8"/>
      <c r="T1169" s="8"/>
      <c r="U1169" s="8"/>
      <c r="V1169" s="8"/>
      <c r="W1169" s="8"/>
      <c r="X1169" s="8"/>
      <c r="Y1169" s="8"/>
      <c r="Z1169" s="8"/>
    </row>
    <row r="1170" spans="1:26" s="9" customFormat="1" ht="15.75">
      <c r="A1170" s="361" t="s">
        <v>774</v>
      </c>
      <c r="B1170" s="353"/>
      <c r="C1170" s="353"/>
      <c r="D1170" s="353"/>
      <c r="E1170" s="353"/>
      <c r="F1170" s="353"/>
      <c r="G1170" s="353"/>
      <c r="H1170" s="353"/>
      <c r="I1170" s="353"/>
      <c r="J1170" s="353"/>
      <c r="K1170" s="353"/>
      <c r="L1170" s="353"/>
      <c r="M1170" s="353"/>
      <c r="N1170" s="354"/>
      <c r="O1170" s="355"/>
      <c r="P1170" s="10"/>
      <c r="Q1170" s="10"/>
      <c r="R1170" s="10"/>
      <c r="S1170" s="10"/>
      <c r="T1170" s="10"/>
      <c r="U1170" s="10"/>
      <c r="V1170" s="10"/>
      <c r="W1170" s="10"/>
      <c r="X1170" s="10"/>
      <c r="Y1170" s="10"/>
      <c r="Z1170" s="10"/>
    </row>
    <row r="1171" spans="1:26" s="9" customFormat="1" ht="15.75">
      <c r="A1171" s="356" t="s">
        <v>775</v>
      </c>
      <c r="B1171" s="353"/>
      <c r="C1171" s="353"/>
      <c r="D1171" s="353"/>
      <c r="E1171" s="353"/>
      <c r="F1171" s="353"/>
      <c r="G1171" s="353"/>
      <c r="H1171" s="353"/>
      <c r="I1171" s="353"/>
      <c r="J1171" s="353"/>
      <c r="K1171" s="353"/>
      <c r="L1171" s="353"/>
      <c r="M1171" s="353"/>
      <c r="N1171" s="354"/>
      <c r="O1171" s="355"/>
      <c r="P1171" s="10"/>
      <c r="Q1171" s="10"/>
      <c r="R1171" s="10"/>
      <c r="S1171" s="10"/>
      <c r="T1171" s="10"/>
      <c r="U1171" s="10"/>
      <c r="V1171" s="10"/>
      <c r="W1171" s="10"/>
      <c r="X1171" s="10"/>
      <c r="Y1171" s="10"/>
      <c r="Z1171" s="10"/>
    </row>
    <row r="1172" spans="1:26" s="9" customFormat="1" ht="15.75">
      <c r="A1172" s="34" t="s">
        <v>570</v>
      </c>
      <c r="B1172" s="18">
        <f t="shared" ref="B1172:C1172" si="1557">B1183+B1201</f>
        <v>3</v>
      </c>
      <c r="C1172" s="18">
        <f t="shared" si="1557"/>
        <v>2</v>
      </c>
      <c r="D1172" s="18">
        <f t="shared" ref="D1172:E1172" si="1558">D1183+D1201</f>
        <v>5</v>
      </c>
      <c r="E1172" s="18">
        <f t="shared" si="1558"/>
        <v>7</v>
      </c>
      <c r="F1172" s="18">
        <f t="shared" ref="F1172:G1172" si="1559">F1183+F1201</f>
        <v>6</v>
      </c>
      <c r="G1172" s="18">
        <f t="shared" si="1559"/>
        <v>7</v>
      </c>
      <c r="H1172" s="18">
        <f t="shared" ref="H1172:I1172" si="1560">H1183+H1201</f>
        <v>31</v>
      </c>
      <c r="I1172" s="18">
        <f t="shared" si="1560"/>
        <v>12</v>
      </c>
      <c r="J1172" s="18">
        <f t="shared" ref="J1172:K1172" si="1561">J1183+J1201</f>
        <v>8</v>
      </c>
      <c r="K1172" s="18">
        <f t="shared" si="1561"/>
        <v>3</v>
      </c>
      <c r="L1172" s="18">
        <f t="shared" ref="L1172:M1172" si="1562">L1183+L1201</f>
        <v>13</v>
      </c>
      <c r="M1172" s="18">
        <f t="shared" si="1562"/>
        <v>6</v>
      </c>
      <c r="N1172" s="133">
        <f t="shared" ref="N1172:N1178" si="1563">SUM(B1172:M1172)</f>
        <v>103</v>
      </c>
      <c r="O1172" s="19">
        <f t="shared" ref="O1172:O1178" si="1564">IF(N1172=0,0,AVERAGE(B1172:M1172))</f>
        <v>8.5833333333333339</v>
      </c>
      <c r="P1172" s="10"/>
      <c r="Q1172" s="10"/>
      <c r="R1172" s="10"/>
      <c r="S1172" s="10"/>
      <c r="T1172" s="10"/>
      <c r="U1172" s="10"/>
      <c r="V1172" s="10"/>
      <c r="W1172" s="10"/>
      <c r="X1172" s="10"/>
      <c r="Y1172" s="10"/>
      <c r="Z1172" s="10"/>
    </row>
    <row r="1173" spans="1:26" s="9" customFormat="1" ht="15.75">
      <c r="A1173" s="34" t="s">
        <v>378</v>
      </c>
      <c r="B1173" s="18">
        <f t="shared" ref="B1173:C1178" si="1565">B1184+B1202</f>
        <v>94</v>
      </c>
      <c r="C1173" s="18">
        <f t="shared" si="1565"/>
        <v>92</v>
      </c>
      <c r="D1173" s="18">
        <f t="shared" ref="D1173:E1173" si="1566">D1184+D1202</f>
        <v>63</v>
      </c>
      <c r="E1173" s="18">
        <f t="shared" si="1566"/>
        <v>70</v>
      </c>
      <c r="F1173" s="18">
        <f t="shared" ref="F1173:G1173" si="1567">F1184+F1202</f>
        <v>107</v>
      </c>
      <c r="G1173" s="18">
        <f t="shared" si="1567"/>
        <v>123</v>
      </c>
      <c r="H1173" s="18">
        <f t="shared" ref="H1173:I1173" si="1568">H1184+H1202</f>
        <v>117</v>
      </c>
      <c r="I1173" s="18">
        <f t="shared" si="1568"/>
        <v>111</v>
      </c>
      <c r="J1173" s="18">
        <f t="shared" ref="J1173:K1173" si="1569">J1184+J1202</f>
        <v>83</v>
      </c>
      <c r="K1173" s="18">
        <f t="shared" si="1569"/>
        <v>93</v>
      </c>
      <c r="L1173" s="18">
        <f t="shared" ref="L1173:M1173" si="1570">L1184+L1202</f>
        <v>84</v>
      </c>
      <c r="M1173" s="18">
        <f t="shared" si="1570"/>
        <v>80</v>
      </c>
      <c r="N1173" s="133">
        <f t="shared" si="1563"/>
        <v>1117</v>
      </c>
      <c r="O1173" s="19">
        <f t="shared" si="1564"/>
        <v>93.083333333333329</v>
      </c>
      <c r="P1173" s="10"/>
      <c r="Q1173" s="10"/>
      <c r="R1173" s="10"/>
      <c r="S1173" s="10"/>
      <c r="T1173" s="10"/>
      <c r="U1173" s="10"/>
      <c r="V1173" s="10"/>
      <c r="W1173" s="10"/>
      <c r="X1173" s="10"/>
      <c r="Y1173" s="10"/>
      <c r="Z1173" s="10"/>
    </row>
    <row r="1174" spans="1:26" s="9" customFormat="1" ht="15.75">
      <c r="A1174" s="34" t="s">
        <v>571</v>
      </c>
      <c r="B1174" s="18">
        <f t="shared" si="1565"/>
        <v>4</v>
      </c>
      <c r="C1174" s="18">
        <f t="shared" si="1565"/>
        <v>10</v>
      </c>
      <c r="D1174" s="18">
        <f t="shared" ref="D1174:E1174" si="1571">D1185+D1203</f>
        <v>6</v>
      </c>
      <c r="E1174" s="18">
        <f t="shared" si="1571"/>
        <v>8</v>
      </c>
      <c r="F1174" s="18">
        <f t="shared" ref="F1174:G1174" si="1572">F1185+F1203</f>
        <v>9</v>
      </c>
      <c r="G1174" s="18">
        <f t="shared" si="1572"/>
        <v>5</v>
      </c>
      <c r="H1174" s="18">
        <f t="shared" ref="H1174:I1174" si="1573">H1185+H1203</f>
        <v>5</v>
      </c>
      <c r="I1174" s="18">
        <f t="shared" si="1573"/>
        <v>4</v>
      </c>
      <c r="J1174" s="18">
        <f t="shared" ref="J1174:K1174" si="1574">J1185+J1203</f>
        <v>9</v>
      </c>
      <c r="K1174" s="18">
        <f t="shared" si="1574"/>
        <v>13</v>
      </c>
      <c r="L1174" s="18">
        <f t="shared" ref="L1174:M1174" si="1575">L1185+L1203</f>
        <v>6</v>
      </c>
      <c r="M1174" s="18">
        <f t="shared" si="1575"/>
        <v>4</v>
      </c>
      <c r="N1174" s="133">
        <f t="shared" si="1563"/>
        <v>83</v>
      </c>
      <c r="O1174" s="19">
        <f t="shared" si="1564"/>
        <v>6.916666666666667</v>
      </c>
      <c r="P1174" s="10"/>
      <c r="Q1174" s="10"/>
      <c r="R1174" s="10"/>
      <c r="S1174" s="10"/>
      <c r="T1174" s="10"/>
      <c r="U1174" s="10"/>
      <c r="V1174" s="10"/>
      <c r="W1174" s="10"/>
      <c r="X1174" s="10"/>
      <c r="Y1174" s="10"/>
      <c r="Z1174" s="10"/>
    </row>
    <row r="1175" spans="1:26" s="9" customFormat="1" ht="15.75">
      <c r="A1175" s="34" t="s">
        <v>172</v>
      </c>
      <c r="B1175" s="18">
        <f t="shared" si="1565"/>
        <v>98</v>
      </c>
      <c r="C1175" s="18">
        <f t="shared" si="1565"/>
        <v>89</v>
      </c>
      <c r="D1175" s="18">
        <f t="shared" ref="D1175:E1175" si="1576">D1186+D1204</f>
        <v>64</v>
      </c>
      <c r="E1175" s="18">
        <f t="shared" si="1576"/>
        <v>70</v>
      </c>
      <c r="F1175" s="18">
        <f t="shared" ref="F1175:G1175" si="1577">F1186+F1204</f>
        <v>72</v>
      </c>
      <c r="G1175" s="18">
        <f t="shared" si="1577"/>
        <v>80</v>
      </c>
      <c r="H1175" s="18">
        <f t="shared" ref="H1175:I1175" si="1578">H1186+H1204</f>
        <v>101</v>
      </c>
      <c r="I1175" s="18">
        <f t="shared" si="1578"/>
        <v>93</v>
      </c>
      <c r="J1175" s="18">
        <f t="shared" ref="J1175:K1175" si="1579">J1186+J1204</f>
        <v>95</v>
      </c>
      <c r="K1175" s="18">
        <f t="shared" si="1579"/>
        <v>88</v>
      </c>
      <c r="L1175" s="18">
        <f t="shared" ref="L1175:M1175" si="1580">L1186+L1204</f>
        <v>124</v>
      </c>
      <c r="M1175" s="18">
        <f t="shared" si="1580"/>
        <v>77</v>
      </c>
      <c r="N1175" s="133">
        <f t="shared" si="1563"/>
        <v>1051</v>
      </c>
      <c r="O1175" s="19">
        <f t="shared" si="1564"/>
        <v>87.583333333333329</v>
      </c>
      <c r="P1175" s="8"/>
      <c r="Q1175" s="8"/>
      <c r="R1175" s="8"/>
      <c r="S1175" s="8"/>
      <c r="T1175" s="8"/>
      <c r="U1175" s="8"/>
      <c r="V1175" s="8"/>
      <c r="W1175" s="8"/>
      <c r="X1175" s="8"/>
      <c r="Y1175" s="8"/>
      <c r="Z1175" s="8"/>
    </row>
    <row r="1176" spans="1:26" s="9" customFormat="1" ht="15.75">
      <c r="A1176" s="34" t="s">
        <v>164</v>
      </c>
      <c r="B1176" s="18">
        <f t="shared" si="1565"/>
        <v>0</v>
      </c>
      <c r="C1176" s="18">
        <f t="shared" si="1565"/>
        <v>0</v>
      </c>
      <c r="D1176" s="18">
        <f t="shared" ref="D1176:E1176" si="1581">D1187+D1205</f>
        <v>0</v>
      </c>
      <c r="E1176" s="18">
        <f t="shared" si="1581"/>
        <v>0</v>
      </c>
      <c r="F1176" s="18">
        <f t="shared" ref="F1176:G1176" si="1582">F1187+F1205</f>
        <v>0</v>
      </c>
      <c r="G1176" s="18">
        <f t="shared" si="1582"/>
        <v>0</v>
      </c>
      <c r="H1176" s="18">
        <f t="shared" ref="H1176:I1176" si="1583">H1187+H1205</f>
        <v>0</v>
      </c>
      <c r="I1176" s="18">
        <f t="shared" si="1583"/>
        <v>0</v>
      </c>
      <c r="J1176" s="18">
        <f t="shared" ref="J1176:K1176" si="1584">J1187+J1205</f>
        <v>0</v>
      </c>
      <c r="K1176" s="18">
        <f t="shared" si="1584"/>
        <v>0</v>
      </c>
      <c r="L1176" s="18">
        <f t="shared" ref="L1176:M1176" si="1585">L1187+L1205</f>
        <v>0</v>
      </c>
      <c r="M1176" s="18">
        <f t="shared" si="1585"/>
        <v>0</v>
      </c>
      <c r="N1176" s="133">
        <f t="shared" si="1563"/>
        <v>0</v>
      </c>
      <c r="O1176" s="19">
        <f t="shared" si="1564"/>
        <v>0</v>
      </c>
      <c r="P1176" s="8"/>
      <c r="Q1176" s="8"/>
      <c r="R1176" s="8"/>
      <c r="S1176" s="8"/>
      <c r="T1176" s="8"/>
      <c r="U1176" s="8"/>
      <c r="V1176" s="8"/>
      <c r="W1176" s="8"/>
      <c r="X1176" s="8"/>
      <c r="Y1176" s="8"/>
      <c r="Z1176" s="8"/>
    </row>
    <row r="1177" spans="1:26" s="9" customFormat="1" ht="15.75">
      <c r="A1177" s="34" t="s">
        <v>173</v>
      </c>
      <c r="B1177" s="18">
        <f t="shared" si="1565"/>
        <v>8</v>
      </c>
      <c r="C1177" s="18">
        <f t="shared" si="1565"/>
        <v>15</v>
      </c>
      <c r="D1177" s="18">
        <f t="shared" ref="D1177:E1177" si="1586">D1188+D1206</f>
        <v>5</v>
      </c>
      <c r="E1177" s="18">
        <f t="shared" si="1586"/>
        <v>11</v>
      </c>
      <c r="F1177" s="18">
        <f t="shared" ref="F1177:G1177" si="1587">F1188+F1206</f>
        <v>14</v>
      </c>
      <c r="G1177" s="18">
        <f t="shared" si="1587"/>
        <v>10</v>
      </c>
      <c r="H1177" s="18">
        <f t="shared" ref="H1177:I1177" si="1588">H1188+H1206</f>
        <v>13</v>
      </c>
      <c r="I1177" s="18">
        <f t="shared" si="1588"/>
        <v>14</v>
      </c>
      <c r="J1177" s="18">
        <f t="shared" ref="J1177:K1177" si="1589">J1188+J1206</f>
        <v>12</v>
      </c>
      <c r="K1177" s="18">
        <f t="shared" si="1589"/>
        <v>10</v>
      </c>
      <c r="L1177" s="18">
        <f t="shared" ref="L1177:M1177" si="1590">L1188+L1206</f>
        <v>13</v>
      </c>
      <c r="M1177" s="18">
        <f t="shared" si="1590"/>
        <v>9</v>
      </c>
      <c r="N1177" s="133">
        <f t="shared" si="1563"/>
        <v>134</v>
      </c>
      <c r="O1177" s="19">
        <f t="shared" si="1564"/>
        <v>11.166666666666666</v>
      </c>
      <c r="P1177" s="8"/>
      <c r="Q1177" s="8"/>
      <c r="R1177" s="8"/>
      <c r="S1177" s="8"/>
      <c r="T1177" s="8"/>
      <c r="U1177" s="8"/>
      <c r="V1177" s="8"/>
      <c r="W1177" s="8"/>
      <c r="X1177" s="8"/>
      <c r="Y1177" s="8"/>
      <c r="Z1177" s="8"/>
    </row>
    <row r="1178" spans="1:26" s="9" customFormat="1" ht="15.75">
      <c r="A1178" s="34" t="s">
        <v>22</v>
      </c>
      <c r="B1178" s="18">
        <f t="shared" si="1565"/>
        <v>0</v>
      </c>
      <c r="C1178" s="18">
        <f t="shared" si="1565"/>
        <v>1</v>
      </c>
      <c r="D1178" s="18">
        <f t="shared" ref="D1178:E1178" si="1591">D1189+D1207</f>
        <v>0</v>
      </c>
      <c r="E1178" s="18">
        <f t="shared" si="1591"/>
        <v>1</v>
      </c>
      <c r="F1178" s="18">
        <f t="shared" ref="F1178:G1178" si="1592">F1189+F1207</f>
        <v>8</v>
      </c>
      <c r="G1178" s="18">
        <f t="shared" si="1592"/>
        <v>11</v>
      </c>
      <c r="H1178" s="18">
        <f t="shared" ref="H1178:I1178" si="1593">H1189+H1207</f>
        <v>14</v>
      </c>
      <c r="I1178" s="18">
        <f t="shared" si="1593"/>
        <v>18</v>
      </c>
      <c r="J1178" s="18">
        <f t="shared" ref="J1178:K1178" si="1594">J1189+J1207</f>
        <v>22</v>
      </c>
      <c r="K1178" s="18">
        <f t="shared" si="1594"/>
        <v>23</v>
      </c>
      <c r="L1178" s="18">
        <f t="shared" ref="L1178:M1178" si="1595">L1189+L1207</f>
        <v>27</v>
      </c>
      <c r="M1178" s="18">
        <f t="shared" si="1595"/>
        <v>28</v>
      </c>
      <c r="N1178" s="133">
        <f t="shared" si="1563"/>
        <v>153</v>
      </c>
      <c r="O1178" s="19">
        <f t="shared" si="1564"/>
        <v>12.75</v>
      </c>
      <c r="P1178" s="10"/>
      <c r="Q1178" s="10"/>
      <c r="R1178" s="10"/>
      <c r="S1178" s="10"/>
      <c r="T1178" s="10"/>
      <c r="U1178" s="10"/>
      <c r="V1178" s="10"/>
      <c r="W1178" s="10"/>
      <c r="X1178" s="10"/>
      <c r="Y1178" s="10"/>
      <c r="Z1178" s="10"/>
    </row>
    <row r="1179" spans="1:26" s="9" customFormat="1" ht="15.75">
      <c r="A1179" s="56" t="s">
        <v>21</v>
      </c>
      <c r="B1179" s="21">
        <f t="shared" ref="B1179:C1179" si="1596">SUM(B1172:B1178)</f>
        <v>207</v>
      </c>
      <c r="C1179" s="21">
        <f t="shared" si="1596"/>
        <v>209</v>
      </c>
      <c r="D1179" s="21">
        <f t="shared" ref="D1179:E1179" si="1597">SUM(D1172:D1178)</f>
        <v>143</v>
      </c>
      <c r="E1179" s="21">
        <f t="shared" si="1597"/>
        <v>167</v>
      </c>
      <c r="F1179" s="21">
        <f t="shared" ref="F1179:G1179" si="1598">SUM(F1172:F1178)</f>
        <v>216</v>
      </c>
      <c r="G1179" s="21">
        <f t="shared" si="1598"/>
        <v>236</v>
      </c>
      <c r="H1179" s="21">
        <f t="shared" ref="H1179:I1179" si="1599">SUM(H1172:H1178)</f>
        <v>281</v>
      </c>
      <c r="I1179" s="21">
        <f t="shared" si="1599"/>
        <v>252</v>
      </c>
      <c r="J1179" s="21">
        <f t="shared" ref="J1179:K1179" si="1600">SUM(J1172:J1178)</f>
        <v>229</v>
      </c>
      <c r="K1179" s="21">
        <f t="shared" si="1600"/>
        <v>230</v>
      </c>
      <c r="L1179" s="21">
        <f t="shared" ref="L1179:M1179" si="1601">SUM(L1172:L1178)</f>
        <v>267</v>
      </c>
      <c r="M1179" s="21">
        <f t="shared" si="1601"/>
        <v>204</v>
      </c>
      <c r="N1179" s="128">
        <f>SUM(N1172:N1178)</f>
        <v>2641</v>
      </c>
      <c r="O1179" s="22">
        <f>SUM(O1172:O1178)</f>
        <v>220.08333333333331</v>
      </c>
      <c r="P1179" s="8"/>
      <c r="Q1179" s="8"/>
      <c r="R1179" s="8"/>
      <c r="S1179" s="8"/>
      <c r="T1179" s="8"/>
      <c r="U1179" s="8"/>
      <c r="V1179" s="8"/>
      <c r="W1179" s="8"/>
      <c r="X1179" s="8"/>
      <c r="Y1179" s="8"/>
      <c r="Z1179" s="8"/>
    </row>
    <row r="1180" spans="1:26" s="9" customFormat="1" ht="15.75">
      <c r="A1180" s="56" t="s">
        <v>112</v>
      </c>
      <c r="B1180" s="22">
        <f t="shared" ref="B1180:G1180" si="1602">IF(B1179=0,"",B1179/B$1676)</f>
        <v>6.67741935483871</v>
      </c>
      <c r="C1180" s="22">
        <f t="shared" si="1602"/>
        <v>7.4642857142857144</v>
      </c>
      <c r="D1180" s="22">
        <f t="shared" si="1602"/>
        <v>4.612903225806452</v>
      </c>
      <c r="E1180" s="22">
        <f t="shared" si="1602"/>
        <v>5.5666666666666664</v>
      </c>
      <c r="F1180" s="22">
        <f t="shared" si="1602"/>
        <v>6.967741935483871</v>
      </c>
      <c r="G1180" s="22">
        <f t="shared" si="1602"/>
        <v>7.8666666666666663</v>
      </c>
      <c r="H1180" s="22">
        <f t="shared" ref="H1180:I1180" si="1603">IF(H1179=0,"",H1179/H$1676)</f>
        <v>9.064516129032258</v>
      </c>
      <c r="I1180" s="22">
        <f t="shared" si="1603"/>
        <v>8.129032258064516</v>
      </c>
      <c r="J1180" s="22">
        <f t="shared" ref="J1180:K1180" si="1604">IF(J1179=0,"",J1179/J$1676)</f>
        <v>7.6333333333333337</v>
      </c>
      <c r="K1180" s="22">
        <f t="shared" si="1604"/>
        <v>7.419354838709677</v>
      </c>
      <c r="L1180" s="22">
        <f t="shared" ref="L1180:M1180" si="1605">IF(L1179=0,"",L1179/L$1676)</f>
        <v>8.9</v>
      </c>
      <c r="M1180" s="22">
        <f t="shared" si="1605"/>
        <v>6.580645161290323</v>
      </c>
      <c r="N1180" s="128">
        <f>SUM(B1180:M1180)</f>
        <v>86.882565284178185</v>
      </c>
      <c r="O1180" s="22">
        <f>IF(N1180=0,0,AVERAGE(B1180:M1180))</f>
        <v>7.2402137736815151</v>
      </c>
      <c r="P1180" s="10"/>
      <c r="Q1180" s="10"/>
      <c r="R1180" s="10"/>
      <c r="S1180" s="10"/>
      <c r="T1180" s="10"/>
      <c r="U1180" s="10"/>
      <c r="V1180" s="10"/>
      <c r="W1180" s="10"/>
      <c r="X1180" s="10"/>
      <c r="Y1180" s="10"/>
      <c r="Z1180" s="10"/>
    </row>
    <row r="1181" spans="1:26" s="9" customFormat="1" ht="15.75">
      <c r="A1181" s="23"/>
      <c r="B1181" s="24"/>
      <c r="C1181" s="24"/>
      <c r="D1181" s="24"/>
      <c r="E1181" s="25"/>
      <c r="F1181" s="25"/>
      <c r="G1181" s="25"/>
      <c r="H1181" s="25"/>
      <c r="I1181" s="25"/>
      <c r="J1181" s="25"/>
      <c r="K1181" s="25"/>
      <c r="L1181" s="25"/>
      <c r="M1181" s="25"/>
      <c r="N1181" s="134"/>
      <c r="O1181" s="54"/>
      <c r="P1181" s="8"/>
      <c r="Q1181" s="8"/>
      <c r="R1181" s="8"/>
      <c r="S1181" s="8"/>
      <c r="T1181" s="8"/>
      <c r="U1181" s="8"/>
      <c r="V1181" s="8"/>
      <c r="W1181" s="8"/>
      <c r="X1181" s="8"/>
      <c r="Y1181" s="8"/>
      <c r="Z1181" s="8"/>
    </row>
    <row r="1182" spans="1:26" s="9" customFormat="1" ht="15.75">
      <c r="A1182" s="60" t="s">
        <v>776</v>
      </c>
      <c r="B1182" s="15"/>
      <c r="C1182" s="15"/>
      <c r="D1182" s="15"/>
      <c r="E1182" s="15"/>
      <c r="F1182" s="15"/>
      <c r="G1182" s="15"/>
      <c r="H1182" s="15"/>
      <c r="I1182" s="15"/>
      <c r="J1182" s="15"/>
      <c r="K1182" s="15"/>
      <c r="L1182" s="15"/>
      <c r="M1182" s="15"/>
      <c r="N1182" s="132"/>
      <c r="O1182" s="16"/>
      <c r="P1182" s="8"/>
      <c r="Q1182" s="8"/>
      <c r="R1182" s="8"/>
      <c r="S1182" s="8"/>
      <c r="T1182" s="8"/>
      <c r="U1182" s="8"/>
      <c r="V1182" s="8"/>
      <c r="W1182" s="8"/>
      <c r="X1182" s="8"/>
      <c r="Y1182" s="8"/>
      <c r="Z1182" s="8"/>
    </row>
    <row r="1183" spans="1:26" s="9" customFormat="1" ht="15.75">
      <c r="A1183" s="34" t="s">
        <v>570</v>
      </c>
      <c r="B1183" s="18">
        <v>0</v>
      </c>
      <c r="C1183" s="18">
        <v>0</v>
      </c>
      <c r="D1183" s="18">
        <v>0</v>
      </c>
      <c r="E1183" s="18">
        <v>0</v>
      </c>
      <c r="F1183" s="18">
        <v>0</v>
      </c>
      <c r="G1183" s="18">
        <v>0</v>
      </c>
      <c r="H1183" s="18">
        <f>7+16</f>
        <v>23</v>
      </c>
      <c r="I1183" s="18">
        <v>0</v>
      </c>
      <c r="J1183" s="18">
        <v>2</v>
      </c>
      <c r="K1183" s="18">
        <v>0</v>
      </c>
      <c r="L1183" s="18">
        <f>1+1</f>
        <v>2</v>
      </c>
      <c r="M1183" s="18">
        <v>0</v>
      </c>
      <c r="N1183" s="133">
        <f t="shared" ref="N1183:N1189" si="1606">SUM(B1183:M1183)</f>
        <v>27</v>
      </c>
      <c r="O1183" s="19">
        <f t="shared" ref="O1183:O1189" si="1607">IF(N1183=0,0,AVERAGE(B1183:M1183))</f>
        <v>2.25</v>
      </c>
      <c r="P1183" s="8"/>
      <c r="Q1183" s="8"/>
      <c r="R1183" s="8"/>
      <c r="S1183" s="8"/>
      <c r="T1183" s="8"/>
      <c r="U1183" s="8"/>
      <c r="V1183" s="8"/>
      <c r="W1183" s="8"/>
      <c r="X1183" s="8"/>
      <c r="Y1183" s="8"/>
      <c r="Z1183" s="8"/>
    </row>
    <row r="1184" spans="1:26" s="9" customFormat="1" ht="15.75">
      <c r="A1184" s="34" t="s">
        <v>378</v>
      </c>
      <c r="B1184" s="18">
        <f>3+4</f>
        <v>7</v>
      </c>
      <c r="C1184" s="18">
        <f>9</f>
        <v>9</v>
      </c>
      <c r="D1184" s="18">
        <f>1+3</f>
        <v>4</v>
      </c>
      <c r="E1184" s="18">
        <f>4+1</f>
        <v>5</v>
      </c>
      <c r="F1184" s="18">
        <v>14</v>
      </c>
      <c r="G1184" s="18">
        <v>9</v>
      </c>
      <c r="H1184" s="18">
        <v>1</v>
      </c>
      <c r="I1184" s="18">
        <f>6+8+1</f>
        <v>15</v>
      </c>
      <c r="J1184" s="18">
        <v>11</v>
      </c>
      <c r="K1184" s="18">
        <f>2+13</f>
        <v>15</v>
      </c>
      <c r="L1184" s="18">
        <f>7+10+6</f>
        <v>23</v>
      </c>
      <c r="M1184" s="18">
        <f>2+10+3</f>
        <v>15</v>
      </c>
      <c r="N1184" s="133">
        <f t="shared" si="1606"/>
        <v>128</v>
      </c>
      <c r="O1184" s="19">
        <f t="shared" si="1607"/>
        <v>10.666666666666666</v>
      </c>
      <c r="P1184" s="8"/>
      <c r="Q1184" s="8"/>
      <c r="R1184" s="8"/>
      <c r="S1184" s="8"/>
      <c r="T1184" s="8"/>
      <c r="U1184" s="8"/>
      <c r="V1184" s="8"/>
      <c r="W1184" s="8"/>
      <c r="X1184" s="8"/>
      <c r="Y1184" s="8"/>
      <c r="Z1184" s="8"/>
    </row>
    <row r="1185" spans="1:26" s="9" customFormat="1" ht="15.75">
      <c r="A1185" s="34" t="s">
        <v>571</v>
      </c>
      <c r="B1185" s="18">
        <v>0</v>
      </c>
      <c r="C1185" s="18">
        <v>0</v>
      </c>
      <c r="D1185" s="18">
        <v>2</v>
      </c>
      <c r="E1185" s="18">
        <v>0</v>
      </c>
      <c r="F1185" s="18">
        <v>2</v>
      </c>
      <c r="G1185" s="18">
        <v>0</v>
      </c>
      <c r="H1185" s="18">
        <v>0</v>
      </c>
      <c r="I1185" s="18">
        <v>0</v>
      </c>
      <c r="J1185" s="18">
        <v>2</v>
      </c>
      <c r="K1185" s="18">
        <v>2</v>
      </c>
      <c r="L1185" s="18">
        <f>2</f>
        <v>2</v>
      </c>
      <c r="M1185" s="18">
        <v>0</v>
      </c>
      <c r="N1185" s="133">
        <f t="shared" si="1606"/>
        <v>10</v>
      </c>
      <c r="O1185" s="19">
        <f t="shared" si="1607"/>
        <v>0.83333333333333337</v>
      </c>
      <c r="P1185" s="8"/>
      <c r="Q1185" s="8"/>
      <c r="R1185" s="8"/>
      <c r="S1185" s="8"/>
      <c r="T1185" s="8"/>
      <c r="U1185" s="8"/>
      <c r="V1185" s="8"/>
      <c r="W1185" s="8"/>
      <c r="X1185" s="8"/>
      <c r="Y1185" s="8"/>
      <c r="Z1185" s="8"/>
    </row>
    <row r="1186" spans="1:26" s="9" customFormat="1" ht="15.75">
      <c r="A1186" s="34" t="s">
        <v>172</v>
      </c>
      <c r="B1186" s="18">
        <f>1</f>
        <v>1</v>
      </c>
      <c r="C1186" s="18">
        <v>0</v>
      </c>
      <c r="D1186" s="18">
        <v>1</v>
      </c>
      <c r="E1186" s="18">
        <v>0</v>
      </c>
      <c r="F1186" s="18">
        <v>1</v>
      </c>
      <c r="G1186" s="18">
        <v>4</v>
      </c>
      <c r="H1186" s="18">
        <v>1</v>
      </c>
      <c r="I1186" s="18">
        <f>1</f>
        <v>1</v>
      </c>
      <c r="J1186" s="18">
        <v>1</v>
      </c>
      <c r="K1186" s="18">
        <v>0</v>
      </c>
      <c r="L1186" s="18">
        <f>3</f>
        <v>3</v>
      </c>
      <c r="M1186" s="18">
        <v>0</v>
      </c>
      <c r="N1186" s="133">
        <f t="shared" si="1606"/>
        <v>13</v>
      </c>
      <c r="O1186" s="19">
        <f t="shared" si="1607"/>
        <v>1.0833333333333333</v>
      </c>
      <c r="P1186" s="8"/>
      <c r="Q1186" s="8"/>
      <c r="R1186" s="8"/>
      <c r="S1186" s="8"/>
      <c r="T1186" s="8"/>
      <c r="U1186" s="8"/>
      <c r="V1186" s="8"/>
      <c r="W1186" s="8"/>
      <c r="X1186" s="8"/>
      <c r="Y1186" s="8"/>
      <c r="Z1186" s="8"/>
    </row>
    <row r="1187" spans="1:26" s="9" customFormat="1" ht="15.75">
      <c r="A1187" s="34" t="s">
        <v>164</v>
      </c>
      <c r="B1187" s="18">
        <v>0</v>
      </c>
      <c r="C1187" s="18">
        <v>0</v>
      </c>
      <c r="D1187" s="18">
        <v>0</v>
      </c>
      <c r="E1187" s="18">
        <v>0</v>
      </c>
      <c r="F1187" s="18">
        <v>0</v>
      </c>
      <c r="G1187" s="18">
        <v>0</v>
      </c>
      <c r="H1187" s="18">
        <v>0</v>
      </c>
      <c r="I1187" s="18">
        <v>0</v>
      </c>
      <c r="J1187" s="18">
        <v>0</v>
      </c>
      <c r="K1187" s="18">
        <v>0</v>
      </c>
      <c r="L1187" s="18">
        <v>0</v>
      </c>
      <c r="M1187" s="18">
        <v>0</v>
      </c>
      <c r="N1187" s="133">
        <f t="shared" si="1606"/>
        <v>0</v>
      </c>
      <c r="O1187" s="19">
        <f t="shared" si="1607"/>
        <v>0</v>
      </c>
      <c r="P1187" s="8"/>
      <c r="Q1187" s="8"/>
      <c r="R1187" s="8"/>
      <c r="S1187" s="8"/>
      <c r="T1187" s="8"/>
      <c r="U1187" s="8"/>
      <c r="V1187" s="8"/>
      <c r="W1187" s="8"/>
      <c r="X1187" s="8"/>
      <c r="Y1187" s="8"/>
      <c r="Z1187" s="8"/>
    </row>
    <row r="1188" spans="1:26" s="9" customFormat="1" ht="15.75">
      <c r="A1188" s="34" t="s">
        <v>173</v>
      </c>
      <c r="B1188" s="18">
        <v>1</v>
      </c>
      <c r="C1188" s="18">
        <f>1+2</f>
        <v>3</v>
      </c>
      <c r="D1188" s="18">
        <v>3</v>
      </c>
      <c r="E1188" s="18">
        <f>3+1</f>
        <v>4</v>
      </c>
      <c r="F1188" s="18">
        <v>5</v>
      </c>
      <c r="G1188" s="18">
        <v>6</v>
      </c>
      <c r="H1188" s="18">
        <f>1+3</f>
        <v>4</v>
      </c>
      <c r="I1188" s="18">
        <f>5+1</f>
        <v>6</v>
      </c>
      <c r="J1188" s="18">
        <v>4</v>
      </c>
      <c r="K1188" s="18">
        <v>2</v>
      </c>
      <c r="L1188" s="18">
        <f>6</f>
        <v>6</v>
      </c>
      <c r="M1188" s="18">
        <v>3</v>
      </c>
      <c r="N1188" s="133">
        <f t="shared" si="1606"/>
        <v>47</v>
      </c>
      <c r="O1188" s="19">
        <f t="shared" si="1607"/>
        <v>3.9166666666666665</v>
      </c>
      <c r="P1188" s="10"/>
      <c r="Q1188" s="10"/>
      <c r="R1188" s="10"/>
      <c r="S1188" s="10"/>
      <c r="T1188" s="10"/>
      <c r="U1188" s="10"/>
      <c r="V1188" s="10"/>
      <c r="W1188" s="10"/>
      <c r="X1188" s="10"/>
      <c r="Y1188" s="10"/>
      <c r="Z1188" s="10"/>
    </row>
    <row r="1189" spans="1:26" s="9" customFormat="1" ht="15.75">
      <c r="A1189" s="34" t="s">
        <v>22</v>
      </c>
      <c r="B1189" s="18">
        <v>0</v>
      </c>
      <c r="C1189" s="18">
        <v>1</v>
      </c>
      <c r="D1189" s="18">
        <v>0</v>
      </c>
      <c r="E1189" s="18">
        <v>0</v>
      </c>
      <c r="F1189" s="18">
        <v>0</v>
      </c>
      <c r="G1189" s="18">
        <v>0</v>
      </c>
      <c r="H1189" s="18">
        <v>0</v>
      </c>
      <c r="I1189" s="18">
        <v>0</v>
      </c>
      <c r="J1189" s="18">
        <v>0</v>
      </c>
      <c r="K1189" s="18">
        <v>0</v>
      </c>
      <c r="L1189" s="18">
        <v>1</v>
      </c>
      <c r="M1189" s="18">
        <v>0</v>
      </c>
      <c r="N1189" s="133">
        <f t="shared" si="1606"/>
        <v>2</v>
      </c>
      <c r="O1189" s="19">
        <f t="shared" si="1607"/>
        <v>0.16666666666666666</v>
      </c>
      <c r="P1189" s="10"/>
      <c r="Q1189" s="10"/>
      <c r="R1189" s="10"/>
      <c r="S1189" s="10"/>
      <c r="T1189" s="10"/>
      <c r="U1189" s="10"/>
      <c r="V1189" s="10"/>
      <c r="W1189" s="10"/>
      <c r="X1189" s="10"/>
      <c r="Y1189" s="10"/>
      <c r="Z1189" s="10"/>
    </row>
    <row r="1190" spans="1:26" s="252" customFormat="1" ht="15.75">
      <c r="A1190" s="56" t="s">
        <v>21</v>
      </c>
      <c r="B1190" s="21">
        <f t="shared" ref="B1190:G1190" si="1608">SUM(B1183:B1189)</f>
        <v>9</v>
      </c>
      <c r="C1190" s="21">
        <f t="shared" si="1608"/>
        <v>13</v>
      </c>
      <c r="D1190" s="21">
        <f t="shared" si="1608"/>
        <v>10</v>
      </c>
      <c r="E1190" s="21">
        <f t="shared" si="1608"/>
        <v>9</v>
      </c>
      <c r="F1190" s="21">
        <f t="shared" si="1608"/>
        <v>22</v>
      </c>
      <c r="G1190" s="21">
        <f t="shared" si="1608"/>
        <v>19</v>
      </c>
      <c r="H1190" s="21">
        <f t="shared" ref="H1190:I1190" si="1609">SUM(H1183:H1189)</f>
        <v>29</v>
      </c>
      <c r="I1190" s="21">
        <f t="shared" si="1609"/>
        <v>22</v>
      </c>
      <c r="J1190" s="21">
        <f t="shared" ref="J1190:K1190" si="1610">SUM(J1183:J1189)</f>
        <v>20</v>
      </c>
      <c r="K1190" s="21">
        <f t="shared" si="1610"/>
        <v>19</v>
      </c>
      <c r="L1190" s="21">
        <f t="shared" ref="L1190:M1190" si="1611">SUM(L1183:L1189)</f>
        <v>37</v>
      </c>
      <c r="M1190" s="21">
        <f t="shared" si="1611"/>
        <v>18</v>
      </c>
      <c r="N1190" s="128">
        <f>SUM(N1183:N1189)</f>
        <v>227</v>
      </c>
      <c r="O1190" s="22">
        <f>SUM(O1183:O1189)</f>
        <v>18.916666666666668</v>
      </c>
      <c r="P1190" s="253"/>
      <c r="Q1190" s="253"/>
      <c r="R1190" s="253"/>
      <c r="S1190" s="253"/>
      <c r="T1190" s="253"/>
      <c r="U1190" s="253"/>
      <c r="V1190" s="253"/>
      <c r="W1190" s="253"/>
      <c r="X1190" s="253"/>
      <c r="Y1190" s="253"/>
      <c r="Z1190" s="253"/>
    </row>
    <row r="1191" spans="1:26" s="9" customFormat="1" ht="15.75">
      <c r="A1191" s="56" t="s">
        <v>112</v>
      </c>
      <c r="B1191" s="22">
        <f t="shared" ref="B1191:G1191" si="1612">IF(B1190=0,"",B1190/B$1676)</f>
        <v>0.29032258064516131</v>
      </c>
      <c r="C1191" s="22">
        <f t="shared" si="1612"/>
        <v>0.4642857142857143</v>
      </c>
      <c r="D1191" s="22">
        <f t="shared" si="1612"/>
        <v>0.32258064516129031</v>
      </c>
      <c r="E1191" s="22">
        <f t="shared" si="1612"/>
        <v>0.3</v>
      </c>
      <c r="F1191" s="22">
        <f t="shared" si="1612"/>
        <v>0.70967741935483875</v>
      </c>
      <c r="G1191" s="22">
        <f t="shared" si="1612"/>
        <v>0.6333333333333333</v>
      </c>
      <c r="H1191" s="22">
        <f t="shared" ref="H1191:I1191" si="1613">IF(H1190=0,"",H1190/H$1676)</f>
        <v>0.93548387096774188</v>
      </c>
      <c r="I1191" s="22">
        <f t="shared" si="1613"/>
        <v>0.70967741935483875</v>
      </c>
      <c r="J1191" s="22">
        <f t="shared" ref="J1191:K1191" si="1614">IF(J1190=0,"",J1190/J$1676)</f>
        <v>0.66666666666666663</v>
      </c>
      <c r="K1191" s="22">
        <f t="shared" si="1614"/>
        <v>0.61290322580645162</v>
      </c>
      <c r="L1191" s="22">
        <f t="shared" ref="L1191:M1191" si="1615">IF(L1190=0,"",L1190/L$1676)</f>
        <v>1.2333333333333334</v>
      </c>
      <c r="M1191" s="22">
        <f t="shared" si="1615"/>
        <v>0.58064516129032262</v>
      </c>
      <c r="N1191" s="128">
        <f>SUM(B1191:M1191)</f>
        <v>7.4589093701996942</v>
      </c>
      <c r="O1191" s="22">
        <f>IF(N1191=0,0,AVERAGE(B1191:M1191))</f>
        <v>0.62157578084997456</v>
      </c>
      <c r="P1191" s="10"/>
      <c r="Q1191" s="10"/>
      <c r="R1191" s="10"/>
      <c r="S1191" s="10"/>
      <c r="T1191" s="10"/>
      <c r="U1191" s="10"/>
      <c r="V1191" s="10"/>
      <c r="W1191" s="10"/>
      <c r="X1191" s="10"/>
      <c r="Y1191" s="10"/>
      <c r="Z1191" s="10"/>
    </row>
    <row r="1192" spans="1:26" s="9" customFormat="1" ht="15.75">
      <c r="A1192" s="61"/>
      <c r="B1192" s="62"/>
      <c r="C1192" s="62"/>
      <c r="D1192" s="62"/>
      <c r="E1192" s="62"/>
      <c r="F1192" s="62"/>
      <c r="G1192" s="62"/>
      <c r="H1192" s="62"/>
      <c r="I1192" s="62"/>
      <c r="J1192" s="62"/>
      <c r="K1192" s="62"/>
      <c r="L1192" s="62"/>
      <c r="M1192" s="62"/>
      <c r="N1192" s="142"/>
      <c r="O1192" s="63"/>
      <c r="P1192" s="10"/>
      <c r="Q1192" s="10"/>
      <c r="R1192" s="10"/>
      <c r="S1192" s="10"/>
      <c r="T1192" s="10"/>
      <c r="U1192" s="10"/>
      <c r="V1192" s="10"/>
      <c r="W1192" s="10"/>
      <c r="X1192" s="10"/>
      <c r="Y1192" s="10"/>
      <c r="Z1192" s="10"/>
    </row>
    <row r="1193" spans="1:26" s="9" customFormat="1" ht="15.75">
      <c r="A1193" s="60" t="s">
        <v>777</v>
      </c>
      <c r="B1193" s="15"/>
      <c r="C1193" s="15"/>
      <c r="D1193" s="15"/>
      <c r="E1193" s="15"/>
      <c r="F1193" s="15"/>
      <c r="G1193" s="15"/>
      <c r="H1193" s="15"/>
      <c r="I1193" s="15"/>
      <c r="J1193" s="15"/>
      <c r="K1193" s="15"/>
      <c r="L1193" s="15"/>
      <c r="M1193" s="15"/>
      <c r="N1193" s="132"/>
      <c r="O1193" s="16"/>
      <c r="P1193" s="10"/>
      <c r="Q1193" s="10"/>
      <c r="R1193" s="10"/>
      <c r="S1193" s="10"/>
      <c r="T1193" s="10"/>
      <c r="U1193" s="10"/>
      <c r="V1193" s="10"/>
      <c r="W1193" s="10"/>
      <c r="X1193" s="10"/>
      <c r="Y1193" s="10"/>
      <c r="Z1193" s="10"/>
    </row>
    <row r="1194" spans="1:26" s="9" customFormat="1" ht="15.75">
      <c r="A1194" s="37" t="s">
        <v>18</v>
      </c>
      <c r="B1194" s="18">
        <v>4</v>
      </c>
      <c r="C1194" s="18">
        <v>1</v>
      </c>
      <c r="D1194" s="18">
        <v>1</v>
      </c>
      <c r="E1194" s="18">
        <v>0</v>
      </c>
      <c r="F1194" s="18">
        <v>4</v>
      </c>
      <c r="G1194" s="18">
        <v>3</v>
      </c>
      <c r="H1194" s="18">
        <v>8</v>
      </c>
      <c r="I1194" s="18">
        <v>6</v>
      </c>
      <c r="J1194" s="18">
        <v>3</v>
      </c>
      <c r="K1194" s="18">
        <v>2</v>
      </c>
      <c r="L1194" s="18">
        <f>1+7</f>
        <v>8</v>
      </c>
      <c r="M1194" s="18">
        <v>2</v>
      </c>
      <c r="N1194" s="133">
        <f>SUM(B1194:M1194)</f>
        <v>42</v>
      </c>
      <c r="O1194" s="19">
        <f>IF(N1194=0,0,AVERAGE(B1194:M1194))</f>
        <v>3.5</v>
      </c>
      <c r="P1194" s="8"/>
      <c r="Q1194" s="8"/>
      <c r="R1194" s="8"/>
      <c r="S1194" s="8"/>
      <c r="T1194" s="8"/>
      <c r="U1194" s="8"/>
      <c r="V1194" s="8"/>
      <c r="W1194" s="8"/>
      <c r="X1194" s="8"/>
      <c r="Y1194" s="8"/>
      <c r="Z1194" s="8"/>
    </row>
    <row r="1195" spans="1:26" s="9" customFormat="1" ht="15.75">
      <c r="A1195" s="37" t="s">
        <v>19</v>
      </c>
      <c r="B1195" s="18">
        <v>4</v>
      </c>
      <c r="C1195" s="18">
        <v>12</v>
      </c>
      <c r="D1195" s="18">
        <v>9</v>
      </c>
      <c r="E1195" s="18">
        <v>7</v>
      </c>
      <c r="F1195" s="18">
        <v>12</v>
      </c>
      <c r="G1195" s="18">
        <v>15</v>
      </c>
      <c r="H1195" s="18">
        <v>20</v>
      </c>
      <c r="I1195" s="18">
        <v>14</v>
      </c>
      <c r="J1195" s="18">
        <v>17</v>
      </c>
      <c r="K1195" s="18">
        <v>17</v>
      </c>
      <c r="L1195" s="18">
        <f>1+10+6+3+1+2</f>
        <v>23</v>
      </c>
      <c r="M1195" s="18">
        <v>13</v>
      </c>
      <c r="N1195" s="133">
        <f>SUM(B1195:M1195)</f>
        <v>163</v>
      </c>
      <c r="O1195" s="19">
        <f>IF(N1195=0,0,AVERAGE(B1195:M1195))</f>
        <v>13.583333333333334</v>
      </c>
      <c r="P1195" s="10"/>
      <c r="Q1195" s="10"/>
      <c r="R1195" s="10"/>
      <c r="S1195" s="10"/>
      <c r="T1195" s="10"/>
      <c r="U1195" s="10"/>
      <c r="V1195" s="10"/>
      <c r="W1195" s="10"/>
      <c r="X1195" s="10"/>
      <c r="Y1195" s="10"/>
      <c r="Z1195" s="10"/>
    </row>
    <row r="1196" spans="1:26" s="9" customFormat="1" ht="15.75">
      <c r="A1196" s="37" t="s">
        <v>20</v>
      </c>
      <c r="B1196" s="18">
        <v>1</v>
      </c>
      <c r="C1196" s="18">
        <v>0</v>
      </c>
      <c r="D1196" s="18">
        <v>0</v>
      </c>
      <c r="E1196" s="18">
        <v>2</v>
      </c>
      <c r="F1196" s="18">
        <v>6</v>
      </c>
      <c r="G1196" s="18">
        <v>1</v>
      </c>
      <c r="H1196" s="18">
        <v>1</v>
      </c>
      <c r="I1196" s="18">
        <v>2</v>
      </c>
      <c r="J1196" s="18">
        <v>0</v>
      </c>
      <c r="K1196" s="18">
        <v>0</v>
      </c>
      <c r="L1196" s="18">
        <v>6</v>
      </c>
      <c r="M1196" s="18">
        <v>3</v>
      </c>
      <c r="N1196" s="133">
        <f>SUM(B1196:M1196)</f>
        <v>22</v>
      </c>
      <c r="O1196" s="19">
        <f>IF(N1196=0,0,AVERAGE(B1196:M1196))</f>
        <v>1.8333333333333333</v>
      </c>
      <c r="P1196" s="8"/>
      <c r="Q1196" s="8"/>
      <c r="R1196" s="8"/>
      <c r="S1196" s="8"/>
      <c r="T1196" s="8"/>
      <c r="U1196" s="8"/>
      <c r="V1196" s="8"/>
      <c r="W1196" s="8"/>
      <c r="X1196" s="8"/>
      <c r="Y1196" s="8"/>
      <c r="Z1196" s="8"/>
    </row>
    <row r="1197" spans="1:26" s="252" customFormat="1" ht="15.75">
      <c r="A1197" s="56" t="s">
        <v>21</v>
      </c>
      <c r="B1197" s="21">
        <f t="shared" ref="B1197:C1197" si="1616">SUM(B1194:B1196)</f>
        <v>9</v>
      </c>
      <c r="C1197" s="21">
        <f t="shared" si="1616"/>
        <v>13</v>
      </c>
      <c r="D1197" s="21">
        <f t="shared" ref="D1197:E1197" si="1617">SUM(D1194:D1196)</f>
        <v>10</v>
      </c>
      <c r="E1197" s="21">
        <f t="shared" si="1617"/>
        <v>9</v>
      </c>
      <c r="F1197" s="21">
        <f t="shared" ref="F1197:G1197" si="1618">SUM(F1194:F1196)</f>
        <v>22</v>
      </c>
      <c r="G1197" s="21">
        <f t="shared" si="1618"/>
        <v>19</v>
      </c>
      <c r="H1197" s="21">
        <f t="shared" ref="H1197:I1197" si="1619">SUM(H1194:H1196)</f>
        <v>29</v>
      </c>
      <c r="I1197" s="21">
        <f t="shared" si="1619"/>
        <v>22</v>
      </c>
      <c r="J1197" s="21">
        <f t="shared" ref="J1197:K1197" si="1620">SUM(J1194:J1196)</f>
        <v>20</v>
      </c>
      <c r="K1197" s="21">
        <f t="shared" si="1620"/>
        <v>19</v>
      </c>
      <c r="L1197" s="21">
        <f t="shared" ref="L1197:M1197" si="1621">SUM(L1194:L1196)</f>
        <v>37</v>
      </c>
      <c r="M1197" s="21">
        <f t="shared" si="1621"/>
        <v>18</v>
      </c>
      <c r="N1197" s="128">
        <f>SUM(N1194:N1196)</f>
        <v>227</v>
      </c>
      <c r="O1197" s="22">
        <f>SUM(O1194:O1196)</f>
        <v>18.916666666666668</v>
      </c>
      <c r="P1197" s="251"/>
      <c r="Q1197" s="251"/>
      <c r="R1197" s="251"/>
      <c r="S1197" s="251"/>
      <c r="T1197" s="251"/>
      <c r="U1197" s="251"/>
      <c r="V1197" s="251"/>
      <c r="W1197" s="251"/>
      <c r="X1197" s="251"/>
      <c r="Y1197" s="251"/>
      <c r="Z1197" s="251"/>
    </row>
    <row r="1198" spans="1:26" s="9" customFormat="1" ht="15.75">
      <c r="A1198" s="56" t="s">
        <v>112</v>
      </c>
      <c r="B1198" s="22">
        <f t="shared" ref="B1198:G1198" si="1622">IF(B1197=0,"",B1197/B$1676)</f>
        <v>0.29032258064516131</v>
      </c>
      <c r="C1198" s="22">
        <f t="shared" si="1622"/>
        <v>0.4642857142857143</v>
      </c>
      <c r="D1198" s="22">
        <f t="shared" si="1622"/>
        <v>0.32258064516129031</v>
      </c>
      <c r="E1198" s="22">
        <f t="shared" si="1622"/>
        <v>0.3</v>
      </c>
      <c r="F1198" s="22">
        <f t="shared" si="1622"/>
        <v>0.70967741935483875</v>
      </c>
      <c r="G1198" s="22">
        <f t="shared" si="1622"/>
        <v>0.6333333333333333</v>
      </c>
      <c r="H1198" s="22">
        <f t="shared" ref="H1198:I1198" si="1623">IF(H1197=0,"",H1197/H$1676)</f>
        <v>0.93548387096774188</v>
      </c>
      <c r="I1198" s="22">
        <f t="shared" si="1623"/>
        <v>0.70967741935483875</v>
      </c>
      <c r="J1198" s="22">
        <f t="shared" ref="J1198:K1198" si="1624">IF(J1197=0,"",J1197/J$1676)</f>
        <v>0.66666666666666663</v>
      </c>
      <c r="K1198" s="22">
        <f t="shared" si="1624"/>
        <v>0.61290322580645162</v>
      </c>
      <c r="L1198" s="22">
        <f t="shared" ref="L1198:M1198" si="1625">IF(L1197=0,"",L1197/L$1676)</f>
        <v>1.2333333333333334</v>
      </c>
      <c r="M1198" s="22">
        <f t="shared" si="1625"/>
        <v>0.58064516129032262</v>
      </c>
      <c r="N1198" s="128">
        <f>SUM(B1198:M1198)</f>
        <v>7.4589093701996942</v>
      </c>
      <c r="O1198" s="22">
        <f>IF(N1198=0,0,AVERAGE(B1198:M1198))</f>
        <v>0.62157578084997456</v>
      </c>
      <c r="P1198" s="8"/>
      <c r="Q1198" s="8"/>
      <c r="R1198" s="8"/>
      <c r="S1198" s="8"/>
      <c r="T1198" s="8"/>
      <c r="U1198" s="8"/>
      <c r="V1198" s="8"/>
      <c r="W1198" s="8"/>
      <c r="X1198" s="8"/>
      <c r="Y1198" s="8"/>
      <c r="Z1198" s="8"/>
    </row>
    <row r="1199" spans="1:26" s="9" customFormat="1" ht="15.75">
      <c r="A1199" s="61"/>
      <c r="B1199" s="62"/>
      <c r="C1199" s="62"/>
      <c r="D1199" s="62"/>
      <c r="E1199" s="62"/>
      <c r="F1199" s="62"/>
      <c r="G1199" s="62"/>
      <c r="H1199" s="62"/>
      <c r="I1199" s="62"/>
      <c r="J1199" s="62"/>
      <c r="K1199" s="62"/>
      <c r="L1199" s="62"/>
      <c r="M1199" s="62"/>
      <c r="N1199" s="142"/>
      <c r="O1199" s="63"/>
      <c r="P1199" s="8"/>
      <c r="Q1199" s="8"/>
      <c r="R1199" s="8"/>
      <c r="S1199" s="8"/>
      <c r="T1199" s="8"/>
      <c r="U1199" s="8"/>
      <c r="V1199" s="8"/>
      <c r="W1199" s="8"/>
      <c r="X1199" s="8"/>
      <c r="Y1199" s="8"/>
      <c r="Z1199" s="8"/>
    </row>
    <row r="1200" spans="1:26" s="9" customFormat="1" ht="15.75">
      <c r="A1200" s="60" t="s">
        <v>778</v>
      </c>
      <c r="B1200" s="15"/>
      <c r="C1200" s="15"/>
      <c r="D1200" s="15"/>
      <c r="E1200" s="15"/>
      <c r="F1200" s="15"/>
      <c r="G1200" s="15"/>
      <c r="H1200" s="15"/>
      <c r="I1200" s="15"/>
      <c r="J1200" s="15"/>
      <c r="K1200" s="15"/>
      <c r="L1200" s="15"/>
      <c r="M1200" s="15"/>
      <c r="N1200" s="132"/>
      <c r="O1200" s="16"/>
      <c r="P1200" s="10"/>
      <c r="Q1200" s="10"/>
      <c r="R1200" s="10"/>
      <c r="S1200" s="10"/>
      <c r="T1200" s="10"/>
      <c r="U1200" s="10"/>
      <c r="V1200" s="10"/>
      <c r="W1200" s="10"/>
      <c r="X1200" s="10"/>
      <c r="Y1200" s="10"/>
      <c r="Z1200" s="10"/>
    </row>
    <row r="1201" spans="1:26" s="9" customFormat="1" ht="15.75">
      <c r="A1201" s="34" t="s">
        <v>570</v>
      </c>
      <c r="B1201" s="18">
        <v>3</v>
      </c>
      <c r="C1201" s="18">
        <v>2</v>
      </c>
      <c r="D1201" s="18">
        <v>5</v>
      </c>
      <c r="E1201" s="18">
        <v>7</v>
      </c>
      <c r="F1201" s="18">
        <v>6</v>
      </c>
      <c r="G1201" s="18">
        <v>7</v>
      </c>
      <c r="H1201" s="18">
        <v>8</v>
      </c>
      <c r="I1201" s="18">
        <v>12</v>
      </c>
      <c r="J1201" s="18">
        <v>6</v>
      </c>
      <c r="K1201" s="18">
        <v>3</v>
      </c>
      <c r="L1201" s="18">
        <v>11</v>
      </c>
      <c r="M1201" s="18">
        <v>6</v>
      </c>
      <c r="N1201" s="133">
        <f t="shared" ref="N1201:N1207" si="1626">SUM(B1201:M1201)</f>
        <v>76</v>
      </c>
      <c r="O1201" s="19">
        <f t="shared" ref="O1201:O1207" si="1627">IF(N1201=0,0,AVERAGE(B1201:M1201))</f>
        <v>6.333333333333333</v>
      </c>
      <c r="P1201" s="8"/>
      <c r="Q1201" s="8"/>
      <c r="R1201" s="8"/>
      <c r="S1201" s="8"/>
      <c r="T1201" s="8"/>
      <c r="U1201" s="8"/>
      <c r="V1201" s="8"/>
      <c r="W1201" s="8"/>
      <c r="X1201" s="8"/>
      <c r="Y1201" s="8"/>
      <c r="Z1201" s="8"/>
    </row>
    <row r="1202" spans="1:26" s="9" customFormat="1" ht="15.75">
      <c r="A1202" s="34" t="s">
        <v>378</v>
      </c>
      <c r="B1202" s="18">
        <v>87</v>
      </c>
      <c r="C1202" s="18">
        <v>83</v>
      </c>
      <c r="D1202" s="18">
        <v>59</v>
      </c>
      <c r="E1202" s="18">
        <v>65</v>
      </c>
      <c r="F1202" s="18">
        <v>93</v>
      </c>
      <c r="G1202" s="18">
        <v>114</v>
      </c>
      <c r="H1202" s="18">
        <v>116</v>
      </c>
      <c r="I1202" s="18">
        <v>96</v>
      </c>
      <c r="J1202" s="18">
        <v>72</v>
      </c>
      <c r="K1202" s="18">
        <v>78</v>
      </c>
      <c r="L1202" s="18">
        <v>61</v>
      </c>
      <c r="M1202" s="18">
        <v>65</v>
      </c>
      <c r="N1202" s="133">
        <f t="shared" si="1626"/>
        <v>989</v>
      </c>
      <c r="O1202" s="19">
        <f t="shared" si="1627"/>
        <v>82.416666666666671</v>
      </c>
      <c r="P1202" s="10"/>
      <c r="Q1202" s="10"/>
      <c r="R1202" s="10"/>
      <c r="S1202" s="10"/>
      <c r="T1202" s="10"/>
      <c r="U1202" s="10"/>
      <c r="V1202" s="10"/>
      <c r="W1202" s="10"/>
      <c r="X1202" s="10"/>
      <c r="Y1202" s="10"/>
      <c r="Z1202" s="10"/>
    </row>
    <row r="1203" spans="1:26" s="9" customFormat="1" ht="15.75">
      <c r="A1203" s="34" t="s">
        <v>571</v>
      </c>
      <c r="B1203" s="18">
        <v>4</v>
      </c>
      <c r="C1203" s="18">
        <v>10</v>
      </c>
      <c r="D1203" s="18">
        <v>4</v>
      </c>
      <c r="E1203" s="18">
        <v>8</v>
      </c>
      <c r="F1203" s="18">
        <v>7</v>
      </c>
      <c r="G1203" s="18">
        <v>5</v>
      </c>
      <c r="H1203" s="18">
        <v>5</v>
      </c>
      <c r="I1203" s="18">
        <v>4</v>
      </c>
      <c r="J1203" s="18">
        <v>7</v>
      </c>
      <c r="K1203" s="18">
        <v>11</v>
      </c>
      <c r="L1203" s="18">
        <v>4</v>
      </c>
      <c r="M1203" s="18">
        <v>4</v>
      </c>
      <c r="N1203" s="133">
        <f t="shared" si="1626"/>
        <v>73</v>
      </c>
      <c r="O1203" s="19">
        <f t="shared" si="1627"/>
        <v>6.083333333333333</v>
      </c>
      <c r="P1203" s="10"/>
      <c r="Q1203" s="10"/>
      <c r="R1203" s="10"/>
      <c r="S1203" s="10"/>
      <c r="T1203" s="10"/>
      <c r="U1203" s="10"/>
      <c r="V1203" s="10"/>
      <c r="W1203" s="10"/>
      <c r="X1203" s="10"/>
      <c r="Y1203" s="10"/>
      <c r="Z1203" s="10"/>
    </row>
    <row r="1204" spans="1:26" s="9" customFormat="1" ht="15.75">
      <c r="A1204" s="34" t="s">
        <v>172</v>
      </c>
      <c r="B1204" s="18">
        <v>97</v>
      </c>
      <c r="C1204" s="18">
        <v>89</v>
      </c>
      <c r="D1204" s="18">
        <v>63</v>
      </c>
      <c r="E1204" s="18">
        <v>70</v>
      </c>
      <c r="F1204" s="18">
        <v>71</v>
      </c>
      <c r="G1204" s="18">
        <v>76</v>
      </c>
      <c r="H1204" s="18">
        <v>100</v>
      </c>
      <c r="I1204" s="18">
        <v>92</v>
      </c>
      <c r="J1204" s="18">
        <v>94</v>
      </c>
      <c r="K1204" s="18">
        <v>88</v>
      </c>
      <c r="L1204" s="18">
        <v>121</v>
      </c>
      <c r="M1204" s="18">
        <v>77</v>
      </c>
      <c r="N1204" s="133">
        <f t="shared" si="1626"/>
        <v>1038</v>
      </c>
      <c r="O1204" s="19">
        <f t="shared" si="1627"/>
        <v>86.5</v>
      </c>
      <c r="P1204" s="107"/>
      <c r="Q1204" s="107"/>
      <c r="R1204" s="107"/>
      <c r="S1204" s="107"/>
      <c r="T1204" s="107"/>
      <c r="U1204" s="107"/>
      <c r="V1204" s="107"/>
      <c r="W1204" s="107"/>
      <c r="X1204" s="107"/>
      <c r="Y1204" s="107"/>
      <c r="Z1204" s="107"/>
    </row>
    <row r="1205" spans="1:26" s="9" customFormat="1" ht="15.75">
      <c r="A1205" s="34" t="s">
        <v>164</v>
      </c>
      <c r="B1205" s="18">
        <v>0</v>
      </c>
      <c r="C1205" s="18">
        <v>0</v>
      </c>
      <c r="D1205" s="18">
        <v>0</v>
      </c>
      <c r="E1205" s="18">
        <v>0</v>
      </c>
      <c r="F1205" s="18">
        <v>0</v>
      </c>
      <c r="G1205" s="18">
        <v>0</v>
      </c>
      <c r="H1205" s="18">
        <v>0</v>
      </c>
      <c r="I1205" s="18">
        <v>0</v>
      </c>
      <c r="J1205" s="18">
        <v>0</v>
      </c>
      <c r="K1205" s="18">
        <v>0</v>
      </c>
      <c r="L1205" s="18">
        <v>0</v>
      </c>
      <c r="M1205" s="18">
        <v>0</v>
      </c>
      <c r="N1205" s="133">
        <f t="shared" si="1626"/>
        <v>0</v>
      </c>
      <c r="O1205" s="19">
        <f t="shared" si="1627"/>
        <v>0</v>
      </c>
      <c r="P1205" s="10"/>
      <c r="Q1205" s="10"/>
      <c r="R1205" s="10"/>
      <c r="S1205" s="10"/>
      <c r="T1205" s="10"/>
      <c r="U1205" s="10"/>
      <c r="V1205" s="10"/>
      <c r="W1205" s="10"/>
      <c r="X1205" s="10"/>
      <c r="Y1205" s="10"/>
      <c r="Z1205" s="10"/>
    </row>
    <row r="1206" spans="1:26" s="9" customFormat="1" ht="15.75">
      <c r="A1206" s="34" t="s">
        <v>173</v>
      </c>
      <c r="B1206" s="18">
        <v>7</v>
      </c>
      <c r="C1206" s="18">
        <v>12</v>
      </c>
      <c r="D1206" s="18">
        <v>2</v>
      </c>
      <c r="E1206" s="18">
        <v>7</v>
      </c>
      <c r="F1206" s="18">
        <v>9</v>
      </c>
      <c r="G1206" s="18">
        <v>4</v>
      </c>
      <c r="H1206" s="18">
        <v>9</v>
      </c>
      <c r="I1206" s="18">
        <v>8</v>
      </c>
      <c r="J1206" s="18">
        <v>8</v>
      </c>
      <c r="K1206" s="18">
        <v>8</v>
      </c>
      <c r="L1206" s="18">
        <v>7</v>
      </c>
      <c r="M1206" s="18">
        <v>6</v>
      </c>
      <c r="N1206" s="133">
        <f t="shared" si="1626"/>
        <v>87</v>
      </c>
      <c r="O1206" s="19">
        <f t="shared" si="1627"/>
        <v>7.25</v>
      </c>
      <c r="P1206" s="8"/>
      <c r="Q1206" s="8"/>
      <c r="R1206" s="8"/>
      <c r="S1206" s="8"/>
      <c r="T1206" s="8"/>
      <c r="U1206" s="8"/>
      <c r="V1206" s="8"/>
      <c r="W1206" s="8"/>
      <c r="X1206" s="8"/>
      <c r="Y1206" s="8"/>
      <c r="Z1206" s="8"/>
    </row>
    <row r="1207" spans="1:26" s="9" customFormat="1" ht="15.75">
      <c r="A1207" s="34" t="s">
        <v>22</v>
      </c>
      <c r="B1207" s="18">
        <v>0</v>
      </c>
      <c r="C1207" s="18">
        <v>0</v>
      </c>
      <c r="D1207" s="18">
        <v>0</v>
      </c>
      <c r="E1207" s="18">
        <v>1</v>
      </c>
      <c r="F1207" s="18">
        <v>8</v>
      </c>
      <c r="G1207" s="18">
        <v>11</v>
      </c>
      <c r="H1207" s="18">
        <v>14</v>
      </c>
      <c r="I1207" s="18">
        <v>18</v>
      </c>
      <c r="J1207" s="18">
        <v>22</v>
      </c>
      <c r="K1207" s="18">
        <v>23</v>
      </c>
      <c r="L1207" s="18">
        <v>26</v>
      </c>
      <c r="M1207" s="18">
        <v>28</v>
      </c>
      <c r="N1207" s="133">
        <f t="shared" si="1626"/>
        <v>151</v>
      </c>
      <c r="O1207" s="19">
        <f t="shared" si="1627"/>
        <v>12.583333333333334</v>
      </c>
      <c r="P1207" s="8"/>
      <c r="Q1207" s="8"/>
      <c r="R1207" s="8"/>
      <c r="S1207" s="8"/>
      <c r="T1207" s="8"/>
      <c r="U1207" s="8"/>
      <c r="V1207" s="8"/>
      <c r="W1207" s="8"/>
      <c r="X1207" s="8"/>
      <c r="Y1207" s="8"/>
      <c r="Z1207" s="8"/>
    </row>
    <row r="1208" spans="1:26" s="252" customFormat="1" ht="15.75">
      <c r="A1208" s="56" t="s">
        <v>21</v>
      </c>
      <c r="B1208" s="21">
        <f t="shared" ref="B1208:C1208" si="1628">SUM(B1201:B1207)</f>
        <v>198</v>
      </c>
      <c r="C1208" s="21">
        <f t="shared" si="1628"/>
        <v>196</v>
      </c>
      <c r="D1208" s="21">
        <f t="shared" ref="D1208:E1208" si="1629">SUM(D1201:D1207)</f>
        <v>133</v>
      </c>
      <c r="E1208" s="21">
        <f t="shared" si="1629"/>
        <v>158</v>
      </c>
      <c r="F1208" s="21">
        <f t="shared" ref="F1208:G1208" si="1630">SUM(F1201:F1207)</f>
        <v>194</v>
      </c>
      <c r="G1208" s="21">
        <f t="shared" si="1630"/>
        <v>217</v>
      </c>
      <c r="H1208" s="21">
        <f t="shared" ref="H1208:I1208" si="1631">SUM(H1201:H1207)</f>
        <v>252</v>
      </c>
      <c r="I1208" s="21">
        <f t="shared" si="1631"/>
        <v>230</v>
      </c>
      <c r="J1208" s="21">
        <f t="shared" ref="J1208:K1208" si="1632">SUM(J1201:J1207)</f>
        <v>209</v>
      </c>
      <c r="K1208" s="21">
        <f t="shared" si="1632"/>
        <v>211</v>
      </c>
      <c r="L1208" s="21">
        <f t="shared" ref="L1208:M1208" si="1633">SUM(L1201:L1207)</f>
        <v>230</v>
      </c>
      <c r="M1208" s="21">
        <f t="shared" si="1633"/>
        <v>186</v>
      </c>
      <c r="N1208" s="128">
        <f>SUM(N1201:N1207)</f>
        <v>2414</v>
      </c>
      <c r="O1208" s="22">
        <f>SUM(O1201:O1207)</f>
        <v>201.16666666666666</v>
      </c>
      <c r="P1208" s="251"/>
      <c r="Q1208" s="251"/>
      <c r="R1208" s="251"/>
      <c r="S1208" s="251"/>
      <c r="T1208" s="251"/>
      <c r="U1208" s="251"/>
      <c r="V1208" s="251"/>
      <c r="W1208" s="251"/>
      <c r="X1208" s="251"/>
      <c r="Y1208" s="251"/>
      <c r="Z1208" s="251"/>
    </row>
    <row r="1209" spans="1:26" s="9" customFormat="1" ht="15.75">
      <c r="A1209" s="56" t="s">
        <v>112</v>
      </c>
      <c r="B1209" s="22">
        <f t="shared" ref="B1209:G1209" si="1634">IF(B1208=0,"",B1208/B$1676)</f>
        <v>6.387096774193548</v>
      </c>
      <c r="C1209" s="22">
        <f t="shared" si="1634"/>
        <v>7</v>
      </c>
      <c r="D1209" s="22">
        <f t="shared" si="1634"/>
        <v>4.290322580645161</v>
      </c>
      <c r="E1209" s="22">
        <f t="shared" si="1634"/>
        <v>5.2666666666666666</v>
      </c>
      <c r="F1209" s="22">
        <f t="shared" si="1634"/>
        <v>6.258064516129032</v>
      </c>
      <c r="G1209" s="22">
        <f t="shared" si="1634"/>
        <v>7.2333333333333334</v>
      </c>
      <c r="H1209" s="22">
        <f t="shared" ref="H1209:I1209" si="1635">IF(H1208=0,"",H1208/H$1676)</f>
        <v>8.129032258064516</v>
      </c>
      <c r="I1209" s="22">
        <f t="shared" si="1635"/>
        <v>7.419354838709677</v>
      </c>
      <c r="J1209" s="22">
        <f t="shared" ref="J1209:K1209" si="1636">IF(J1208=0,"",J1208/J$1676)</f>
        <v>6.9666666666666668</v>
      </c>
      <c r="K1209" s="22">
        <f t="shared" si="1636"/>
        <v>6.806451612903226</v>
      </c>
      <c r="L1209" s="22">
        <f t="shared" ref="L1209:M1209" si="1637">IF(L1208=0,"",L1208/L$1676)</f>
        <v>7.666666666666667</v>
      </c>
      <c r="M1209" s="22">
        <f t="shared" si="1637"/>
        <v>6</v>
      </c>
      <c r="N1209" s="128">
        <f>SUM(B1209:M1209)</f>
        <v>79.423655913978507</v>
      </c>
      <c r="O1209" s="22">
        <f>IF(N1209=0,0,AVERAGE(B1209:M1209))</f>
        <v>6.618637992831542</v>
      </c>
      <c r="P1209" s="8"/>
      <c r="Q1209" s="8"/>
      <c r="R1209" s="8"/>
      <c r="S1209" s="8"/>
      <c r="T1209" s="8"/>
      <c r="U1209" s="8"/>
      <c r="V1209" s="8"/>
      <c r="W1209" s="8"/>
      <c r="X1209" s="8"/>
      <c r="Y1209" s="8"/>
      <c r="Z1209" s="8"/>
    </row>
    <row r="1210" spans="1:26" s="9" customFormat="1">
      <c r="A1210" s="61"/>
      <c r="B1210" s="62"/>
      <c r="C1210" s="62"/>
      <c r="D1210" s="62"/>
      <c r="E1210" s="62"/>
      <c r="F1210" s="62"/>
      <c r="G1210" s="62"/>
      <c r="H1210" s="62"/>
      <c r="I1210" s="62"/>
      <c r="J1210" s="62"/>
      <c r="K1210" s="62"/>
      <c r="L1210" s="62"/>
      <c r="M1210" s="62"/>
      <c r="N1210" s="142"/>
      <c r="O1210" s="250"/>
      <c r="P1210" s="8"/>
      <c r="Q1210" s="8"/>
      <c r="R1210" s="8"/>
      <c r="S1210" s="8"/>
      <c r="T1210" s="8"/>
      <c r="U1210" s="8"/>
      <c r="V1210" s="8"/>
      <c r="W1210" s="8"/>
      <c r="X1210" s="8"/>
      <c r="Y1210" s="8"/>
      <c r="Z1210" s="8"/>
    </row>
    <row r="1211" spans="1:26" s="9" customFormat="1" ht="15.75">
      <c r="A1211" s="85" t="s">
        <v>153</v>
      </c>
      <c r="B1211" s="86">
        <f t="shared" ref="B1211:C1211" si="1638">B1197</f>
        <v>9</v>
      </c>
      <c r="C1211" s="86">
        <f t="shared" si="1638"/>
        <v>13</v>
      </c>
      <c r="D1211" s="86">
        <f t="shared" ref="D1211:E1211" si="1639">D1197</f>
        <v>10</v>
      </c>
      <c r="E1211" s="86">
        <f t="shared" si="1639"/>
        <v>9</v>
      </c>
      <c r="F1211" s="86">
        <f t="shared" ref="F1211:G1211" si="1640">F1197</f>
        <v>22</v>
      </c>
      <c r="G1211" s="86">
        <f t="shared" si="1640"/>
        <v>19</v>
      </c>
      <c r="H1211" s="86">
        <f t="shared" ref="H1211:I1211" si="1641">H1197</f>
        <v>29</v>
      </c>
      <c r="I1211" s="86">
        <f t="shared" si="1641"/>
        <v>22</v>
      </c>
      <c r="J1211" s="86">
        <f t="shared" ref="J1211:K1211" si="1642">J1197</f>
        <v>20</v>
      </c>
      <c r="K1211" s="86">
        <f t="shared" si="1642"/>
        <v>19</v>
      </c>
      <c r="L1211" s="86">
        <f t="shared" ref="L1211:M1211" si="1643">L1197</f>
        <v>37</v>
      </c>
      <c r="M1211" s="86">
        <f t="shared" si="1643"/>
        <v>18</v>
      </c>
      <c r="N1211" s="133">
        <f>N1197</f>
        <v>227</v>
      </c>
      <c r="O1211" s="19">
        <f>O1197</f>
        <v>18.916666666666668</v>
      </c>
      <c r="P1211" s="8"/>
      <c r="Q1211" s="8"/>
      <c r="R1211" s="8"/>
      <c r="S1211" s="8"/>
      <c r="T1211" s="8"/>
      <c r="U1211" s="8"/>
      <c r="V1211" s="8"/>
      <c r="W1211" s="8"/>
      <c r="X1211" s="8"/>
      <c r="Y1211" s="8"/>
      <c r="Z1211" s="8"/>
    </row>
    <row r="1212" spans="1:26" s="9" customFormat="1" ht="15.75">
      <c r="A1212" s="85" t="s">
        <v>154</v>
      </c>
      <c r="B1212" s="86">
        <f t="shared" ref="B1212:C1212" si="1644">B1208</f>
        <v>198</v>
      </c>
      <c r="C1212" s="86">
        <f t="shared" si="1644"/>
        <v>196</v>
      </c>
      <c r="D1212" s="86">
        <f t="shared" ref="D1212:E1212" si="1645">D1208</f>
        <v>133</v>
      </c>
      <c r="E1212" s="86">
        <f t="shared" si="1645"/>
        <v>158</v>
      </c>
      <c r="F1212" s="86">
        <f t="shared" ref="F1212:G1212" si="1646">F1208</f>
        <v>194</v>
      </c>
      <c r="G1212" s="86">
        <f t="shared" si="1646"/>
        <v>217</v>
      </c>
      <c r="H1212" s="86">
        <f t="shared" ref="H1212:I1212" si="1647">H1208</f>
        <v>252</v>
      </c>
      <c r="I1212" s="86">
        <f t="shared" si="1647"/>
        <v>230</v>
      </c>
      <c r="J1212" s="86">
        <f t="shared" ref="J1212:K1212" si="1648">J1208</f>
        <v>209</v>
      </c>
      <c r="K1212" s="86">
        <f t="shared" si="1648"/>
        <v>211</v>
      </c>
      <c r="L1212" s="86">
        <f t="shared" ref="L1212:M1212" si="1649">L1208</f>
        <v>230</v>
      </c>
      <c r="M1212" s="86">
        <f t="shared" si="1649"/>
        <v>186</v>
      </c>
      <c r="N1212" s="133">
        <f>N1208</f>
        <v>2414</v>
      </c>
      <c r="O1212" s="19">
        <f>O1208</f>
        <v>201.16666666666666</v>
      </c>
      <c r="P1212" s="8"/>
      <c r="Q1212" s="8"/>
      <c r="R1212" s="8"/>
      <c r="S1212" s="8"/>
      <c r="T1212" s="8"/>
      <c r="U1212" s="8"/>
      <c r="V1212" s="8"/>
      <c r="W1212" s="8"/>
      <c r="X1212" s="8"/>
      <c r="Y1212" s="8"/>
      <c r="Z1212" s="8"/>
    </row>
    <row r="1213" spans="1:26" s="9" customFormat="1" ht="15.75">
      <c r="A1213" s="342" t="s">
        <v>155</v>
      </c>
      <c r="B1213" s="333">
        <f t="shared" ref="B1213:C1213" si="1650">SUM(B1211:B1212)</f>
        <v>207</v>
      </c>
      <c r="C1213" s="333">
        <f t="shared" si="1650"/>
        <v>209</v>
      </c>
      <c r="D1213" s="333">
        <f t="shared" ref="D1213:E1213" si="1651">SUM(D1211:D1212)</f>
        <v>143</v>
      </c>
      <c r="E1213" s="333">
        <f t="shared" si="1651"/>
        <v>167</v>
      </c>
      <c r="F1213" s="333">
        <f t="shared" ref="F1213:G1213" si="1652">SUM(F1211:F1212)</f>
        <v>216</v>
      </c>
      <c r="G1213" s="333">
        <f t="shared" si="1652"/>
        <v>236</v>
      </c>
      <c r="H1213" s="333">
        <f t="shared" ref="H1213:I1213" si="1653">SUM(H1211:H1212)</f>
        <v>281</v>
      </c>
      <c r="I1213" s="333">
        <f t="shared" si="1653"/>
        <v>252</v>
      </c>
      <c r="J1213" s="333">
        <f t="shared" ref="J1213:K1213" si="1654">SUM(J1211:J1212)</f>
        <v>229</v>
      </c>
      <c r="K1213" s="333">
        <f t="shared" si="1654"/>
        <v>230</v>
      </c>
      <c r="L1213" s="333">
        <f t="shared" ref="L1213:M1213" si="1655">SUM(L1211:L1212)</f>
        <v>267</v>
      </c>
      <c r="M1213" s="333">
        <f t="shared" si="1655"/>
        <v>204</v>
      </c>
      <c r="N1213" s="334">
        <f>SUM(N1211:N1212)</f>
        <v>2641</v>
      </c>
      <c r="O1213" s="335">
        <f>SUM(O1211:O1212)</f>
        <v>220.08333333333331</v>
      </c>
      <c r="P1213" s="8"/>
      <c r="Q1213" s="8"/>
      <c r="R1213" s="8"/>
      <c r="S1213" s="8"/>
      <c r="T1213" s="8"/>
      <c r="U1213" s="8"/>
      <c r="V1213" s="8"/>
      <c r="W1213" s="8"/>
      <c r="X1213" s="8"/>
      <c r="Y1213" s="8"/>
      <c r="Z1213" s="8"/>
    </row>
    <row r="1214" spans="1:26" s="9" customFormat="1" ht="15.75">
      <c r="A1214" s="123"/>
      <c r="B1214" s="124"/>
      <c r="C1214" s="124"/>
      <c r="D1214" s="124"/>
      <c r="E1214" s="124"/>
      <c r="F1214" s="124"/>
      <c r="G1214" s="124"/>
      <c r="H1214" s="124"/>
      <c r="I1214" s="124"/>
      <c r="J1214" s="124"/>
      <c r="K1214" s="124"/>
      <c r="L1214" s="124"/>
      <c r="M1214" s="124"/>
      <c r="N1214" s="155"/>
      <c r="O1214" s="125"/>
      <c r="P1214" s="8"/>
      <c r="Q1214" s="8"/>
      <c r="R1214" s="8"/>
      <c r="S1214" s="8"/>
      <c r="T1214" s="8"/>
      <c r="U1214" s="8"/>
      <c r="V1214" s="8"/>
      <c r="W1214" s="8"/>
      <c r="X1214" s="8"/>
      <c r="Y1214" s="8"/>
      <c r="Z1214" s="8"/>
    </row>
    <row r="1215" spans="1:26" s="9" customFormat="1" ht="15.75">
      <c r="A1215" s="361" t="s">
        <v>779</v>
      </c>
      <c r="B1215" s="353"/>
      <c r="C1215" s="353"/>
      <c r="D1215" s="353"/>
      <c r="E1215" s="353"/>
      <c r="F1215" s="353"/>
      <c r="G1215" s="353"/>
      <c r="H1215" s="353"/>
      <c r="I1215" s="353"/>
      <c r="J1215" s="353"/>
      <c r="K1215" s="353"/>
      <c r="L1215" s="353"/>
      <c r="M1215" s="353"/>
      <c r="N1215" s="354"/>
      <c r="O1215" s="355"/>
      <c r="P1215" s="8"/>
      <c r="Q1215" s="8"/>
      <c r="R1215" s="8"/>
      <c r="S1215" s="8"/>
      <c r="T1215" s="8"/>
      <c r="U1215" s="8"/>
      <c r="V1215" s="8"/>
      <c r="W1215" s="8"/>
      <c r="X1215" s="8"/>
      <c r="Y1215" s="8"/>
      <c r="Z1215" s="8"/>
    </row>
    <row r="1216" spans="1:26" s="9" customFormat="1" ht="15.75">
      <c r="A1216" s="356" t="s">
        <v>780</v>
      </c>
      <c r="B1216" s="353"/>
      <c r="C1216" s="353"/>
      <c r="D1216" s="353"/>
      <c r="E1216" s="353"/>
      <c r="F1216" s="353"/>
      <c r="G1216" s="353"/>
      <c r="H1216" s="353"/>
      <c r="I1216" s="353"/>
      <c r="J1216" s="353"/>
      <c r="K1216" s="353"/>
      <c r="L1216" s="353"/>
      <c r="M1216" s="353"/>
      <c r="N1216" s="354"/>
      <c r="O1216" s="355"/>
      <c r="P1216" s="8"/>
      <c r="Q1216" s="8"/>
      <c r="R1216" s="8"/>
      <c r="S1216" s="8"/>
      <c r="T1216" s="8"/>
      <c r="U1216" s="8"/>
      <c r="V1216" s="8"/>
      <c r="W1216" s="8"/>
      <c r="X1216" s="8"/>
      <c r="Y1216" s="8"/>
      <c r="Z1216" s="8"/>
    </row>
    <row r="1217" spans="1:26" s="9" customFormat="1" ht="15.75">
      <c r="A1217" s="34" t="s">
        <v>626</v>
      </c>
      <c r="B1217" s="18">
        <f t="shared" ref="B1217:C1217" si="1656">B1228+B1246</f>
        <v>0</v>
      </c>
      <c r="C1217" s="18">
        <f t="shared" si="1656"/>
        <v>2</v>
      </c>
      <c r="D1217" s="18">
        <f t="shared" ref="D1217:F1217" si="1657">D1228+D1246</f>
        <v>1</v>
      </c>
      <c r="E1217" s="18">
        <v>0</v>
      </c>
      <c r="F1217" s="18">
        <f t="shared" si="1657"/>
        <v>4</v>
      </c>
      <c r="G1217" s="18">
        <f t="shared" ref="G1217:H1217" si="1658">G1228+G1246</f>
        <v>5</v>
      </c>
      <c r="H1217" s="18">
        <f t="shared" si="1658"/>
        <v>1</v>
      </c>
      <c r="I1217" s="18">
        <f t="shared" ref="I1217:J1217" si="1659">I1228+I1246</f>
        <v>2</v>
      </c>
      <c r="J1217" s="18">
        <f t="shared" si="1659"/>
        <v>0</v>
      </c>
      <c r="K1217" s="18">
        <f t="shared" ref="K1217" si="1660">K1228+K1246</f>
        <v>3</v>
      </c>
      <c r="L1217" s="18">
        <v>0</v>
      </c>
      <c r="M1217" s="18">
        <v>0</v>
      </c>
      <c r="N1217" s="133">
        <f t="shared" ref="N1217:N1223" si="1661">SUM(B1217:M1217)</f>
        <v>18</v>
      </c>
      <c r="O1217" s="19">
        <f t="shared" ref="O1217:O1223" si="1662">IF(N1217=0,0,AVERAGE(B1217:M1217))</f>
        <v>1.5</v>
      </c>
      <c r="P1217" s="8"/>
      <c r="Q1217" s="8"/>
      <c r="R1217" s="8"/>
      <c r="S1217" s="8"/>
      <c r="T1217" s="8"/>
      <c r="U1217" s="8"/>
      <c r="V1217" s="8"/>
      <c r="W1217" s="8"/>
      <c r="X1217" s="8"/>
      <c r="Y1217" s="8"/>
      <c r="Z1217" s="8"/>
    </row>
    <row r="1218" spans="1:26" s="9" customFormat="1" ht="15.75">
      <c r="A1218" s="34" t="s">
        <v>627</v>
      </c>
      <c r="B1218" s="18">
        <f t="shared" ref="B1218:C1223" si="1663">B1229+B1247</f>
        <v>0</v>
      </c>
      <c r="C1218" s="18">
        <f t="shared" si="1663"/>
        <v>0</v>
      </c>
      <c r="D1218" s="18">
        <f t="shared" ref="D1218:E1218" si="1664">D1229+D1247</f>
        <v>0</v>
      </c>
      <c r="E1218" s="18">
        <f t="shared" si="1664"/>
        <v>0</v>
      </c>
      <c r="F1218" s="18">
        <f t="shared" ref="F1218:G1218" si="1665">F1229+F1247</f>
        <v>0</v>
      </c>
      <c r="G1218" s="18">
        <f t="shared" si="1665"/>
        <v>0</v>
      </c>
      <c r="H1218" s="18">
        <f t="shared" ref="H1218:I1218" si="1666">H1229+H1247</f>
        <v>0</v>
      </c>
      <c r="I1218" s="18">
        <f t="shared" si="1666"/>
        <v>0</v>
      </c>
      <c r="J1218" s="18">
        <f t="shared" ref="J1218:K1218" si="1667">J1229+J1247</f>
        <v>0</v>
      </c>
      <c r="K1218" s="18">
        <f t="shared" si="1667"/>
        <v>0</v>
      </c>
      <c r="L1218" s="18">
        <v>0</v>
      </c>
      <c r="M1218" s="18">
        <v>0</v>
      </c>
      <c r="N1218" s="133">
        <f t="shared" si="1661"/>
        <v>0</v>
      </c>
      <c r="O1218" s="19">
        <f t="shared" si="1662"/>
        <v>0</v>
      </c>
      <c r="P1218" s="8"/>
      <c r="Q1218" s="8"/>
      <c r="R1218" s="8"/>
      <c r="S1218" s="8"/>
      <c r="T1218" s="8"/>
      <c r="U1218" s="8"/>
      <c r="V1218" s="8"/>
      <c r="W1218" s="8"/>
      <c r="X1218" s="8"/>
      <c r="Y1218" s="8"/>
      <c r="Z1218" s="8"/>
    </row>
    <row r="1219" spans="1:26" s="9" customFormat="1" ht="15.75">
      <c r="A1219" s="34" t="s">
        <v>628</v>
      </c>
      <c r="B1219" s="18">
        <f t="shared" si="1663"/>
        <v>0</v>
      </c>
      <c r="C1219" s="18">
        <f t="shared" si="1663"/>
        <v>0</v>
      </c>
      <c r="D1219" s="18">
        <f t="shared" ref="D1219:E1219" si="1668">D1230+D1248</f>
        <v>0</v>
      </c>
      <c r="E1219" s="18">
        <f t="shared" si="1668"/>
        <v>0</v>
      </c>
      <c r="F1219" s="18">
        <f t="shared" ref="F1219:G1219" si="1669">F1230+F1248</f>
        <v>0</v>
      </c>
      <c r="G1219" s="18">
        <f t="shared" si="1669"/>
        <v>0</v>
      </c>
      <c r="H1219" s="18">
        <f t="shared" ref="H1219:I1219" si="1670">H1230+H1248</f>
        <v>0</v>
      </c>
      <c r="I1219" s="18">
        <f t="shared" si="1670"/>
        <v>0</v>
      </c>
      <c r="J1219" s="18">
        <f t="shared" ref="J1219:K1219" si="1671">J1230+J1248</f>
        <v>0</v>
      </c>
      <c r="K1219" s="18">
        <f t="shared" si="1671"/>
        <v>0</v>
      </c>
      <c r="L1219" s="18">
        <v>0</v>
      </c>
      <c r="M1219" s="18">
        <v>0</v>
      </c>
      <c r="N1219" s="133">
        <f t="shared" si="1661"/>
        <v>0</v>
      </c>
      <c r="O1219" s="19">
        <f t="shared" si="1662"/>
        <v>0</v>
      </c>
      <c r="P1219" s="8"/>
      <c r="Q1219" s="8"/>
      <c r="R1219" s="8"/>
      <c r="S1219" s="8"/>
      <c r="T1219" s="8"/>
      <c r="U1219" s="8"/>
      <c r="V1219" s="8"/>
      <c r="W1219" s="8"/>
      <c r="X1219" s="8"/>
      <c r="Y1219" s="8"/>
      <c r="Z1219" s="8"/>
    </row>
    <row r="1220" spans="1:26" s="9" customFormat="1" ht="15.75">
      <c r="A1220" s="34" t="s">
        <v>629</v>
      </c>
      <c r="B1220" s="18">
        <f t="shared" si="1663"/>
        <v>0</v>
      </c>
      <c r="C1220" s="18">
        <f t="shared" si="1663"/>
        <v>0</v>
      </c>
      <c r="D1220" s="18">
        <f t="shared" ref="D1220:F1220" si="1672">D1231+D1249</f>
        <v>1</v>
      </c>
      <c r="E1220" s="18">
        <v>0</v>
      </c>
      <c r="F1220" s="18">
        <f t="shared" si="1672"/>
        <v>0</v>
      </c>
      <c r="G1220" s="18">
        <f t="shared" ref="G1220:H1220" si="1673">G1231+G1249</f>
        <v>1</v>
      </c>
      <c r="H1220" s="18">
        <f t="shared" si="1673"/>
        <v>0</v>
      </c>
      <c r="I1220" s="18">
        <f t="shared" ref="I1220:J1220" si="1674">I1231+I1249</f>
        <v>0</v>
      </c>
      <c r="J1220" s="18">
        <f t="shared" si="1674"/>
        <v>1</v>
      </c>
      <c r="K1220" s="18">
        <f t="shared" ref="K1220" si="1675">K1231+K1249</f>
        <v>0</v>
      </c>
      <c r="L1220" s="18">
        <v>0</v>
      </c>
      <c r="M1220" s="18">
        <v>0</v>
      </c>
      <c r="N1220" s="133">
        <f t="shared" si="1661"/>
        <v>3</v>
      </c>
      <c r="O1220" s="19">
        <f t="shared" si="1662"/>
        <v>0.25</v>
      </c>
      <c r="P1220" s="8"/>
      <c r="Q1220" s="8"/>
      <c r="R1220" s="8"/>
      <c r="S1220" s="8"/>
      <c r="T1220" s="8"/>
      <c r="U1220" s="8"/>
      <c r="V1220" s="8"/>
      <c r="W1220" s="8"/>
      <c r="X1220" s="8"/>
      <c r="Y1220" s="8"/>
      <c r="Z1220" s="8"/>
    </row>
    <row r="1221" spans="1:26" s="9" customFormat="1" ht="15.75">
      <c r="A1221" s="34" t="s">
        <v>630</v>
      </c>
      <c r="B1221" s="18">
        <f t="shared" si="1663"/>
        <v>0</v>
      </c>
      <c r="C1221" s="18">
        <f t="shared" si="1663"/>
        <v>0</v>
      </c>
      <c r="D1221" s="18">
        <f t="shared" ref="D1221:E1221" si="1676">D1232+D1250</f>
        <v>0</v>
      </c>
      <c r="E1221" s="18">
        <f t="shared" si="1676"/>
        <v>0</v>
      </c>
      <c r="F1221" s="18">
        <f t="shared" ref="F1221:G1221" si="1677">F1232+F1250</f>
        <v>0</v>
      </c>
      <c r="G1221" s="18">
        <f t="shared" si="1677"/>
        <v>0</v>
      </c>
      <c r="H1221" s="18">
        <f t="shared" ref="H1221:I1221" si="1678">H1232+H1250</f>
        <v>0</v>
      </c>
      <c r="I1221" s="18">
        <f t="shared" si="1678"/>
        <v>0</v>
      </c>
      <c r="J1221" s="18">
        <f t="shared" ref="J1221:K1221" si="1679">J1232+J1250</f>
        <v>0</v>
      </c>
      <c r="K1221" s="18">
        <f t="shared" si="1679"/>
        <v>0</v>
      </c>
      <c r="L1221" s="18">
        <v>0</v>
      </c>
      <c r="M1221" s="18">
        <v>0</v>
      </c>
      <c r="N1221" s="133">
        <f t="shared" si="1661"/>
        <v>0</v>
      </c>
      <c r="O1221" s="19">
        <f t="shared" si="1662"/>
        <v>0</v>
      </c>
      <c r="P1221" s="8"/>
      <c r="Q1221" s="8"/>
      <c r="R1221" s="8"/>
      <c r="S1221" s="8"/>
      <c r="T1221" s="8"/>
      <c r="U1221" s="8"/>
      <c r="V1221" s="8"/>
      <c r="W1221" s="8"/>
      <c r="X1221" s="8"/>
      <c r="Y1221" s="8"/>
      <c r="Z1221" s="8"/>
    </row>
    <row r="1222" spans="1:26" s="9" customFormat="1" ht="15.75">
      <c r="A1222" s="34" t="s">
        <v>631</v>
      </c>
      <c r="B1222" s="18">
        <f t="shared" si="1663"/>
        <v>0</v>
      </c>
      <c r="C1222" s="18">
        <f t="shared" si="1663"/>
        <v>0</v>
      </c>
      <c r="D1222" s="18">
        <f t="shared" ref="D1222:F1222" si="1680">D1233+D1251</f>
        <v>1</v>
      </c>
      <c r="E1222" s="18">
        <v>0</v>
      </c>
      <c r="F1222" s="18">
        <f t="shared" si="1680"/>
        <v>0</v>
      </c>
      <c r="G1222" s="18">
        <f t="shared" ref="G1222:H1222" si="1681">G1233+G1251</f>
        <v>0</v>
      </c>
      <c r="H1222" s="18">
        <f t="shared" si="1681"/>
        <v>2</v>
      </c>
      <c r="I1222" s="18">
        <f t="shared" ref="I1222:J1222" si="1682">I1233+I1251</f>
        <v>0</v>
      </c>
      <c r="J1222" s="18">
        <f t="shared" si="1682"/>
        <v>0</v>
      </c>
      <c r="K1222" s="18">
        <f t="shared" ref="K1222" si="1683">K1233+K1251</f>
        <v>0</v>
      </c>
      <c r="L1222" s="18">
        <v>0</v>
      </c>
      <c r="M1222" s="18">
        <v>0</v>
      </c>
      <c r="N1222" s="133">
        <f t="shared" si="1661"/>
        <v>3</v>
      </c>
      <c r="O1222" s="19">
        <f t="shared" si="1662"/>
        <v>0.25</v>
      </c>
      <c r="P1222" s="8"/>
      <c r="Q1222" s="8"/>
      <c r="R1222" s="8"/>
      <c r="S1222" s="8"/>
      <c r="T1222" s="8"/>
      <c r="U1222" s="8"/>
      <c r="V1222" s="8"/>
      <c r="W1222" s="8"/>
      <c r="X1222" s="8"/>
      <c r="Y1222" s="8"/>
      <c r="Z1222" s="8"/>
    </row>
    <row r="1223" spans="1:26" s="9" customFormat="1" ht="15.75">
      <c r="A1223" s="34" t="s">
        <v>22</v>
      </c>
      <c r="B1223" s="18">
        <f t="shared" si="1663"/>
        <v>0</v>
      </c>
      <c r="C1223" s="18">
        <f t="shared" si="1663"/>
        <v>0</v>
      </c>
      <c r="D1223" s="18">
        <f t="shared" ref="D1223:E1223" si="1684">D1234+D1252</f>
        <v>0</v>
      </c>
      <c r="E1223" s="18">
        <f t="shared" si="1684"/>
        <v>0</v>
      </c>
      <c r="F1223" s="18">
        <f t="shared" ref="F1223:G1223" si="1685">F1234+F1252</f>
        <v>0</v>
      </c>
      <c r="G1223" s="18">
        <f t="shared" si="1685"/>
        <v>0</v>
      </c>
      <c r="H1223" s="18">
        <f t="shared" ref="H1223:I1223" si="1686">H1234+H1252</f>
        <v>0</v>
      </c>
      <c r="I1223" s="18">
        <f t="shared" si="1686"/>
        <v>0</v>
      </c>
      <c r="J1223" s="18">
        <f t="shared" ref="J1223:K1223" si="1687">J1234+J1252</f>
        <v>0</v>
      </c>
      <c r="K1223" s="18">
        <f t="shared" si="1687"/>
        <v>0</v>
      </c>
      <c r="L1223" s="18">
        <v>0</v>
      </c>
      <c r="M1223" s="18">
        <v>0</v>
      </c>
      <c r="N1223" s="133">
        <f t="shared" si="1661"/>
        <v>0</v>
      </c>
      <c r="O1223" s="19">
        <f t="shared" si="1662"/>
        <v>0</v>
      </c>
      <c r="P1223" s="8"/>
      <c r="Q1223" s="8"/>
      <c r="R1223" s="8"/>
      <c r="S1223" s="8"/>
      <c r="T1223" s="8"/>
      <c r="U1223" s="8"/>
      <c r="V1223" s="8"/>
      <c r="W1223" s="8"/>
      <c r="X1223" s="8"/>
      <c r="Y1223" s="8"/>
      <c r="Z1223" s="8"/>
    </row>
    <row r="1224" spans="1:26" s="9" customFormat="1" ht="15.75">
      <c r="A1224" s="56" t="s">
        <v>21</v>
      </c>
      <c r="B1224" s="21">
        <f t="shared" ref="B1224:C1224" si="1688">SUM(B1217:B1223)</f>
        <v>0</v>
      </c>
      <c r="C1224" s="21">
        <f t="shared" si="1688"/>
        <v>2</v>
      </c>
      <c r="D1224" s="21">
        <f t="shared" ref="D1224:E1224" si="1689">SUM(D1217:D1223)</f>
        <v>3</v>
      </c>
      <c r="E1224" s="21">
        <f t="shared" si="1689"/>
        <v>0</v>
      </c>
      <c r="F1224" s="21">
        <f t="shared" ref="F1224:G1224" si="1690">SUM(F1217:F1223)</f>
        <v>4</v>
      </c>
      <c r="G1224" s="21">
        <f t="shared" si="1690"/>
        <v>6</v>
      </c>
      <c r="H1224" s="21">
        <f t="shared" ref="H1224:I1224" si="1691">SUM(H1217:H1223)</f>
        <v>3</v>
      </c>
      <c r="I1224" s="21">
        <f t="shared" si="1691"/>
        <v>2</v>
      </c>
      <c r="J1224" s="21">
        <f t="shared" ref="J1224:K1224" si="1692">SUM(J1217:J1223)</f>
        <v>1</v>
      </c>
      <c r="K1224" s="21">
        <f t="shared" si="1692"/>
        <v>3</v>
      </c>
      <c r="L1224" s="21">
        <f t="shared" ref="L1224:M1224" si="1693">SUM(L1217:L1223)</f>
        <v>0</v>
      </c>
      <c r="M1224" s="21">
        <f t="shared" si="1693"/>
        <v>0</v>
      </c>
      <c r="N1224" s="128">
        <f>SUM(N1217:N1223)</f>
        <v>24</v>
      </c>
      <c r="O1224" s="22">
        <f>SUM(O1217:O1223)</f>
        <v>2</v>
      </c>
      <c r="P1224" s="8"/>
      <c r="Q1224" s="8"/>
      <c r="R1224" s="8"/>
      <c r="S1224" s="8"/>
      <c r="T1224" s="8"/>
      <c r="U1224" s="8"/>
      <c r="V1224" s="8"/>
      <c r="W1224" s="8"/>
      <c r="X1224" s="8"/>
      <c r="Y1224" s="8"/>
      <c r="Z1224" s="8"/>
    </row>
    <row r="1225" spans="1:26" s="9" customFormat="1" ht="15.75">
      <c r="A1225" s="56" t="s">
        <v>112</v>
      </c>
      <c r="B1225" s="22" t="s">
        <v>44</v>
      </c>
      <c r="C1225" s="22">
        <f>IF(C1224=0,"",C1224/C$1676)</f>
        <v>7.1428571428571425E-2</v>
      </c>
      <c r="D1225" s="22">
        <f>IF(D1224=0,"",D1224/D$1676)</f>
        <v>9.6774193548387094E-2</v>
      </c>
      <c r="E1225" s="22" t="s">
        <v>44</v>
      </c>
      <c r="F1225" s="22">
        <f t="shared" ref="F1225:K1225" si="1694">IF(F1224=0,"",F1224/F$1676)</f>
        <v>0.12903225806451613</v>
      </c>
      <c r="G1225" s="22">
        <f t="shared" si="1694"/>
        <v>0.2</v>
      </c>
      <c r="H1225" s="22">
        <f t="shared" si="1694"/>
        <v>9.6774193548387094E-2</v>
      </c>
      <c r="I1225" s="22">
        <f t="shared" si="1694"/>
        <v>6.4516129032258063E-2</v>
      </c>
      <c r="J1225" s="22">
        <f t="shared" si="1694"/>
        <v>3.3333333333333333E-2</v>
      </c>
      <c r="K1225" s="22">
        <f t="shared" si="1694"/>
        <v>9.6774193548387094E-2</v>
      </c>
      <c r="L1225" s="22" t="s">
        <v>44</v>
      </c>
      <c r="M1225" s="22" t="s">
        <v>44</v>
      </c>
      <c r="N1225" s="128">
        <f>SUM(B1225:M1225)</f>
        <v>0.78863287250384029</v>
      </c>
      <c r="O1225" s="22">
        <f>IF(N1225=0,0,AVERAGE(B1225:M1225))</f>
        <v>9.8579109062980036E-2</v>
      </c>
      <c r="P1225" s="8"/>
      <c r="Q1225" s="8"/>
      <c r="R1225" s="8"/>
      <c r="S1225" s="8"/>
      <c r="T1225" s="8"/>
      <c r="U1225" s="8"/>
      <c r="V1225" s="8"/>
      <c r="W1225" s="8"/>
      <c r="X1225" s="8"/>
      <c r="Y1225" s="8"/>
      <c r="Z1225" s="8"/>
    </row>
    <row r="1226" spans="1:26" s="9" customFormat="1" ht="15.75">
      <c r="A1226" s="23"/>
      <c r="B1226" s="24"/>
      <c r="C1226" s="24"/>
      <c r="D1226" s="24"/>
      <c r="E1226" s="24"/>
      <c r="F1226" s="25"/>
      <c r="G1226" s="25"/>
      <c r="H1226" s="25"/>
      <c r="I1226" s="25"/>
      <c r="J1226" s="25"/>
      <c r="K1226" s="25"/>
      <c r="L1226" s="25"/>
      <c r="M1226" s="25"/>
      <c r="N1226" s="134"/>
      <c r="O1226" s="54"/>
      <c r="P1226" s="8"/>
      <c r="Q1226" s="8"/>
      <c r="R1226" s="8"/>
      <c r="S1226" s="8"/>
      <c r="T1226" s="8"/>
      <c r="U1226" s="8"/>
      <c r="V1226" s="8"/>
      <c r="W1226" s="8"/>
      <c r="X1226" s="8"/>
      <c r="Y1226" s="8"/>
      <c r="Z1226" s="8"/>
    </row>
    <row r="1227" spans="1:26" s="9" customFormat="1" ht="15.75">
      <c r="A1227" s="60" t="s">
        <v>781</v>
      </c>
      <c r="B1227" s="15"/>
      <c r="C1227" s="15"/>
      <c r="D1227" s="15"/>
      <c r="E1227" s="15"/>
      <c r="F1227" s="15"/>
      <c r="G1227" s="15"/>
      <c r="H1227" s="15"/>
      <c r="I1227" s="15"/>
      <c r="J1227" s="15"/>
      <c r="K1227" s="15"/>
      <c r="L1227" s="15"/>
      <c r="M1227" s="15"/>
      <c r="N1227" s="132"/>
      <c r="O1227" s="16"/>
      <c r="P1227" s="8"/>
      <c r="Q1227" s="8"/>
      <c r="R1227" s="8"/>
      <c r="S1227" s="8"/>
      <c r="T1227" s="8"/>
      <c r="U1227" s="8"/>
      <c r="V1227" s="8"/>
      <c r="W1227" s="8"/>
      <c r="X1227" s="8"/>
      <c r="Y1227" s="8"/>
      <c r="Z1227" s="8"/>
    </row>
    <row r="1228" spans="1:26" s="9" customFormat="1" ht="15.75">
      <c r="A1228" s="34" t="s">
        <v>626</v>
      </c>
      <c r="B1228" s="18">
        <v>0</v>
      </c>
      <c r="C1228" s="18">
        <v>2</v>
      </c>
      <c r="D1228" s="18">
        <v>1</v>
      </c>
      <c r="E1228" s="18">
        <v>0</v>
      </c>
      <c r="F1228" s="18">
        <v>4</v>
      </c>
      <c r="G1228" s="18">
        <f>2+2</f>
        <v>4</v>
      </c>
      <c r="H1228" s="18">
        <v>1</v>
      </c>
      <c r="I1228" s="18">
        <v>2</v>
      </c>
      <c r="J1228" s="18">
        <v>0</v>
      </c>
      <c r="K1228" s="18">
        <v>3</v>
      </c>
      <c r="L1228" s="18">
        <v>0</v>
      </c>
      <c r="M1228" s="18">
        <v>1</v>
      </c>
      <c r="N1228" s="133">
        <f t="shared" ref="N1228:N1234" si="1695">SUM(B1228:M1228)</f>
        <v>18</v>
      </c>
      <c r="O1228" s="19">
        <f t="shared" ref="O1228:O1234" si="1696">IF(N1228=0,0,AVERAGE(B1228:M1228))</f>
        <v>1.5</v>
      </c>
      <c r="P1228" s="8"/>
      <c r="Q1228" s="8"/>
      <c r="R1228" s="8"/>
      <c r="S1228" s="8"/>
      <c r="T1228" s="8"/>
      <c r="U1228" s="8"/>
      <c r="V1228" s="8"/>
      <c r="W1228" s="8"/>
      <c r="X1228" s="8"/>
      <c r="Y1228" s="8"/>
      <c r="Z1228" s="8"/>
    </row>
    <row r="1229" spans="1:26" s="9" customFormat="1" ht="15.75">
      <c r="A1229" s="34" t="s">
        <v>627</v>
      </c>
      <c r="B1229" s="18">
        <v>0</v>
      </c>
      <c r="C1229" s="18">
        <v>0</v>
      </c>
      <c r="D1229" s="18">
        <v>0</v>
      </c>
      <c r="E1229" s="18">
        <v>0</v>
      </c>
      <c r="F1229" s="18">
        <v>0</v>
      </c>
      <c r="G1229" s="18">
        <v>0</v>
      </c>
      <c r="H1229" s="18">
        <v>0</v>
      </c>
      <c r="I1229" s="18">
        <v>0</v>
      </c>
      <c r="J1229" s="18">
        <v>0</v>
      </c>
      <c r="K1229" s="18">
        <v>0</v>
      </c>
      <c r="L1229" s="18">
        <v>0</v>
      </c>
      <c r="M1229" s="18">
        <v>0</v>
      </c>
      <c r="N1229" s="133">
        <f t="shared" si="1695"/>
        <v>0</v>
      </c>
      <c r="O1229" s="19">
        <f t="shared" si="1696"/>
        <v>0</v>
      </c>
      <c r="P1229" s="8"/>
      <c r="Q1229" s="8"/>
      <c r="R1229" s="8"/>
      <c r="S1229" s="8"/>
      <c r="T1229" s="8"/>
      <c r="U1229" s="8"/>
      <c r="V1229" s="8"/>
      <c r="W1229" s="8"/>
      <c r="X1229" s="8"/>
      <c r="Y1229" s="8"/>
      <c r="Z1229" s="8"/>
    </row>
    <row r="1230" spans="1:26" s="9" customFormat="1" ht="15.75">
      <c r="A1230" s="34" t="s">
        <v>628</v>
      </c>
      <c r="B1230" s="18">
        <v>0</v>
      </c>
      <c r="C1230" s="18">
        <v>0</v>
      </c>
      <c r="D1230" s="18">
        <v>0</v>
      </c>
      <c r="E1230" s="18">
        <v>0</v>
      </c>
      <c r="F1230" s="18">
        <v>0</v>
      </c>
      <c r="G1230" s="18">
        <v>0</v>
      </c>
      <c r="H1230" s="18">
        <v>0</v>
      </c>
      <c r="I1230" s="18">
        <v>0</v>
      </c>
      <c r="J1230" s="18">
        <v>0</v>
      </c>
      <c r="K1230" s="18">
        <v>0</v>
      </c>
      <c r="L1230" s="18">
        <v>0</v>
      </c>
      <c r="M1230" s="18">
        <v>0</v>
      </c>
      <c r="N1230" s="133">
        <f t="shared" si="1695"/>
        <v>0</v>
      </c>
      <c r="O1230" s="19">
        <f t="shared" si="1696"/>
        <v>0</v>
      </c>
      <c r="P1230" s="8"/>
      <c r="Q1230" s="8"/>
      <c r="R1230" s="8"/>
      <c r="S1230" s="8"/>
      <c r="T1230" s="8"/>
      <c r="U1230" s="8"/>
      <c r="V1230" s="8"/>
      <c r="W1230" s="8"/>
      <c r="X1230" s="8"/>
      <c r="Y1230" s="8"/>
      <c r="Z1230" s="8"/>
    </row>
    <row r="1231" spans="1:26" s="9" customFormat="1" ht="15.75">
      <c r="A1231" s="34" t="s">
        <v>629</v>
      </c>
      <c r="B1231" s="18">
        <v>0</v>
      </c>
      <c r="C1231" s="18">
        <v>0</v>
      </c>
      <c r="D1231" s="18">
        <v>1</v>
      </c>
      <c r="E1231" s="18">
        <v>0</v>
      </c>
      <c r="F1231" s="18">
        <v>0</v>
      </c>
      <c r="G1231" s="18">
        <v>1</v>
      </c>
      <c r="H1231" s="18">
        <v>0</v>
      </c>
      <c r="I1231" s="18">
        <v>0</v>
      </c>
      <c r="J1231" s="18">
        <v>1</v>
      </c>
      <c r="K1231" s="18">
        <v>0</v>
      </c>
      <c r="L1231" s="18">
        <v>0</v>
      </c>
      <c r="M1231" s="18">
        <v>0</v>
      </c>
      <c r="N1231" s="133">
        <f t="shared" si="1695"/>
        <v>3</v>
      </c>
      <c r="O1231" s="19">
        <f t="shared" si="1696"/>
        <v>0.25</v>
      </c>
      <c r="P1231" s="8"/>
      <c r="Q1231" s="8"/>
      <c r="R1231" s="8"/>
      <c r="S1231" s="8"/>
      <c r="T1231" s="8"/>
      <c r="U1231" s="8"/>
      <c r="V1231" s="8"/>
      <c r="W1231" s="8"/>
      <c r="X1231" s="8"/>
      <c r="Y1231" s="8"/>
      <c r="Z1231" s="8"/>
    </row>
    <row r="1232" spans="1:26" s="9" customFormat="1" ht="15.75">
      <c r="A1232" s="34" t="s">
        <v>630</v>
      </c>
      <c r="B1232" s="18">
        <v>0</v>
      </c>
      <c r="C1232" s="18">
        <v>0</v>
      </c>
      <c r="D1232" s="18">
        <v>0</v>
      </c>
      <c r="E1232" s="18">
        <v>0</v>
      </c>
      <c r="F1232" s="18">
        <v>0</v>
      </c>
      <c r="G1232" s="18">
        <v>0</v>
      </c>
      <c r="H1232" s="18">
        <v>0</v>
      </c>
      <c r="I1232" s="18">
        <v>0</v>
      </c>
      <c r="J1232" s="18">
        <v>0</v>
      </c>
      <c r="K1232" s="18">
        <v>0</v>
      </c>
      <c r="L1232" s="18">
        <v>0</v>
      </c>
      <c r="M1232" s="18">
        <v>0</v>
      </c>
      <c r="N1232" s="133">
        <f t="shared" si="1695"/>
        <v>0</v>
      </c>
      <c r="O1232" s="19">
        <f t="shared" si="1696"/>
        <v>0</v>
      </c>
      <c r="P1232" s="8"/>
      <c r="Q1232" s="8"/>
      <c r="R1232" s="8"/>
      <c r="S1232" s="8"/>
      <c r="T1232" s="8"/>
      <c r="U1232" s="8"/>
      <c r="V1232" s="8"/>
      <c r="W1232" s="8"/>
      <c r="X1232" s="8"/>
      <c r="Y1232" s="8"/>
      <c r="Z1232" s="8"/>
    </row>
    <row r="1233" spans="1:26" s="9" customFormat="1" ht="15.75">
      <c r="A1233" s="34" t="s">
        <v>631</v>
      </c>
      <c r="B1233" s="18">
        <v>0</v>
      </c>
      <c r="C1233" s="18">
        <v>0</v>
      </c>
      <c r="D1233" s="18">
        <v>1</v>
      </c>
      <c r="E1233" s="18">
        <v>0</v>
      </c>
      <c r="F1233" s="18">
        <v>0</v>
      </c>
      <c r="G1233" s="18">
        <v>0</v>
      </c>
      <c r="H1233" s="18">
        <v>2</v>
      </c>
      <c r="I1233" s="18">
        <v>0</v>
      </c>
      <c r="J1233" s="18">
        <v>0</v>
      </c>
      <c r="K1233" s="18">
        <v>0</v>
      </c>
      <c r="L1233" s="18">
        <v>0</v>
      </c>
      <c r="M1233" s="18">
        <v>0</v>
      </c>
      <c r="N1233" s="133">
        <f t="shared" si="1695"/>
        <v>3</v>
      </c>
      <c r="O1233" s="19">
        <f t="shared" si="1696"/>
        <v>0.25</v>
      </c>
      <c r="P1233" s="8"/>
      <c r="Q1233" s="8"/>
      <c r="R1233" s="8"/>
      <c r="S1233" s="8"/>
      <c r="T1233" s="8"/>
      <c r="U1233" s="8"/>
      <c r="V1233" s="8"/>
      <c r="W1233" s="8"/>
      <c r="X1233" s="8"/>
      <c r="Y1233" s="8"/>
      <c r="Z1233" s="8"/>
    </row>
    <row r="1234" spans="1:26" s="9" customFormat="1" ht="15.75">
      <c r="A1234" s="34" t="s">
        <v>22</v>
      </c>
      <c r="B1234" s="18">
        <v>0</v>
      </c>
      <c r="C1234" s="18">
        <v>0</v>
      </c>
      <c r="D1234" s="18">
        <v>0</v>
      </c>
      <c r="E1234" s="18">
        <v>0</v>
      </c>
      <c r="F1234" s="18">
        <v>0</v>
      </c>
      <c r="G1234" s="18">
        <v>0</v>
      </c>
      <c r="H1234" s="18">
        <v>0</v>
      </c>
      <c r="I1234" s="18">
        <v>0</v>
      </c>
      <c r="J1234" s="18">
        <v>0</v>
      </c>
      <c r="K1234" s="18">
        <v>0</v>
      </c>
      <c r="L1234" s="18">
        <v>0</v>
      </c>
      <c r="M1234" s="18">
        <v>0</v>
      </c>
      <c r="N1234" s="133">
        <f t="shared" si="1695"/>
        <v>0</v>
      </c>
      <c r="O1234" s="19">
        <f t="shared" si="1696"/>
        <v>0</v>
      </c>
      <c r="P1234" s="8"/>
      <c r="Q1234" s="8"/>
      <c r="R1234" s="8"/>
      <c r="S1234" s="8"/>
      <c r="T1234" s="8"/>
      <c r="U1234" s="8"/>
      <c r="V1234" s="8"/>
      <c r="W1234" s="8"/>
      <c r="X1234" s="8"/>
      <c r="Y1234" s="8"/>
      <c r="Z1234" s="8"/>
    </row>
    <row r="1235" spans="1:26" s="9" customFormat="1" ht="15.75">
      <c r="A1235" s="56" t="s">
        <v>21</v>
      </c>
      <c r="B1235" s="21">
        <f t="shared" ref="B1235:C1235" si="1697">SUM(B1228:B1234)</f>
        <v>0</v>
      </c>
      <c r="C1235" s="21">
        <f t="shared" si="1697"/>
        <v>2</v>
      </c>
      <c r="D1235" s="21">
        <f t="shared" ref="D1235:E1235" si="1698">SUM(D1228:D1234)</f>
        <v>3</v>
      </c>
      <c r="E1235" s="21">
        <f t="shared" si="1698"/>
        <v>0</v>
      </c>
      <c r="F1235" s="21">
        <f t="shared" ref="F1235:G1235" si="1699">SUM(F1228:F1234)</f>
        <v>4</v>
      </c>
      <c r="G1235" s="21">
        <f t="shared" si="1699"/>
        <v>5</v>
      </c>
      <c r="H1235" s="21">
        <f t="shared" ref="H1235:I1235" si="1700">SUM(H1228:H1234)</f>
        <v>3</v>
      </c>
      <c r="I1235" s="21">
        <f t="shared" si="1700"/>
        <v>2</v>
      </c>
      <c r="J1235" s="21">
        <f t="shared" ref="J1235:K1235" si="1701">SUM(J1228:J1234)</f>
        <v>1</v>
      </c>
      <c r="K1235" s="21">
        <f t="shared" si="1701"/>
        <v>3</v>
      </c>
      <c r="L1235" s="21">
        <f t="shared" ref="L1235:M1235" si="1702">SUM(L1228:L1234)</f>
        <v>0</v>
      </c>
      <c r="M1235" s="21">
        <f t="shared" si="1702"/>
        <v>1</v>
      </c>
      <c r="N1235" s="128">
        <f>SUM(N1228:N1234)</f>
        <v>24</v>
      </c>
      <c r="O1235" s="22">
        <f>SUM(O1228:O1234)</f>
        <v>2</v>
      </c>
      <c r="P1235" s="8"/>
      <c r="Q1235" s="8"/>
      <c r="R1235" s="8"/>
      <c r="S1235" s="8"/>
      <c r="T1235" s="8"/>
      <c r="U1235" s="8"/>
      <c r="V1235" s="8"/>
      <c r="W1235" s="8"/>
      <c r="X1235" s="8"/>
      <c r="Y1235" s="8"/>
      <c r="Z1235" s="8"/>
    </row>
    <row r="1236" spans="1:26" s="9" customFormat="1" ht="15.75">
      <c r="A1236" s="56" t="s">
        <v>112</v>
      </c>
      <c r="B1236" s="22" t="s">
        <v>44</v>
      </c>
      <c r="C1236" s="22">
        <f>IF(C1235=0,"",C1235/C$1676)</f>
        <v>7.1428571428571425E-2</v>
      </c>
      <c r="D1236" s="22">
        <f>IF(D1235=0,"",D1235/D$1676)</f>
        <v>9.6774193548387094E-2</v>
      </c>
      <c r="E1236" s="22" t="s">
        <v>44</v>
      </c>
      <c r="F1236" s="22">
        <f t="shared" ref="F1236:M1236" si="1703">IF(F1235=0,"",F1235/F$1676)</f>
        <v>0.12903225806451613</v>
      </c>
      <c r="G1236" s="22">
        <f t="shared" si="1703"/>
        <v>0.16666666666666666</v>
      </c>
      <c r="H1236" s="22">
        <f t="shared" si="1703"/>
        <v>9.6774193548387094E-2</v>
      </c>
      <c r="I1236" s="22">
        <f t="shared" si="1703"/>
        <v>6.4516129032258063E-2</v>
      </c>
      <c r="J1236" s="22">
        <f t="shared" si="1703"/>
        <v>3.3333333333333333E-2</v>
      </c>
      <c r="K1236" s="22">
        <f t="shared" si="1703"/>
        <v>9.6774193548387094E-2</v>
      </c>
      <c r="L1236" s="22" t="s">
        <v>44</v>
      </c>
      <c r="M1236" s="22">
        <f t="shared" si="1703"/>
        <v>3.2258064516129031E-2</v>
      </c>
      <c r="N1236" s="128">
        <f>SUM(B1236:M1236)</f>
        <v>0.78755760368663585</v>
      </c>
      <c r="O1236" s="22">
        <f>IF(N1236=0,0,AVERAGE(B1236:M1236))</f>
        <v>8.7506400409626206E-2</v>
      </c>
      <c r="P1236" s="8"/>
      <c r="Q1236" s="8"/>
      <c r="R1236" s="8"/>
      <c r="S1236" s="8"/>
      <c r="T1236" s="8"/>
      <c r="U1236" s="8"/>
      <c r="V1236" s="8"/>
      <c r="W1236" s="8"/>
      <c r="X1236" s="8"/>
      <c r="Y1236" s="8"/>
      <c r="Z1236" s="8"/>
    </row>
    <row r="1237" spans="1:26" s="9" customFormat="1" ht="15.75">
      <c r="A1237" s="61"/>
      <c r="B1237" s="62"/>
      <c r="C1237" s="62"/>
      <c r="D1237" s="62"/>
      <c r="E1237" s="62"/>
      <c r="F1237" s="62"/>
      <c r="G1237" s="62"/>
      <c r="H1237" s="62"/>
      <c r="I1237" s="62"/>
      <c r="J1237" s="62"/>
      <c r="K1237" s="62"/>
      <c r="L1237" s="62"/>
      <c r="M1237" s="62"/>
      <c r="N1237" s="142"/>
      <c r="O1237" s="63"/>
      <c r="P1237" s="8"/>
      <c r="Q1237" s="8"/>
      <c r="R1237" s="8"/>
      <c r="S1237" s="8"/>
      <c r="T1237" s="8"/>
      <c r="U1237" s="8"/>
      <c r="V1237" s="8"/>
      <c r="W1237" s="8"/>
      <c r="X1237" s="8"/>
      <c r="Y1237" s="8"/>
      <c r="Z1237" s="8"/>
    </row>
    <row r="1238" spans="1:26" s="9" customFormat="1" ht="15.75">
      <c r="A1238" s="60" t="s">
        <v>782</v>
      </c>
      <c r="B1238" s="15"/>
      <c r="C1238" s="15"/>
      <c r="D1238" s="15"/>
      <c r="E1238" s="15"/>
      <c r="F1238" s="15"/>
      <c r="G1238" s="15"/>
      <c r="H1238" s="15"/>
      <c r="I1238" s="15"/>
      <c r="J1238" s="15"/>
      <c r="K1238" s="15"/>
      <c r="L1238" s="15"/>
      <c r="M1238" s="15"/>
      <c r="N1238" s="132"/>
      <c r="O1238" s="16"/>
      <c r="P1238" s="8"/>
      <c r="Q1238" s="8"/>
      <c r="R1238" s="8"/>
      <c r="S1238" s="8"/>
      <c r="T1238" s="8"/>
      <c r="U1238" s="8"/>
      <c r="V1238" s="8"/>
      <c r="W1238" s="8"/>
      <c r="X1238" s="8"/>
      <c r="Y1238" s="8"/>
      <c r="Z1238" s="8"/>
    </row>
    <row r="1239" spans="1:26" s="9" customFormat="1" ht="15.75">
      <c r="A1239" s="37" t="s">
        <v>18</v>
      </c>
      <c r="B1239" s="18">
        <v>0</v>
      </c>
      <c r="C1239" s="18">
        <v>2</v>
      </c>
      <c r="D1239" s="18">
        <v>0</v>
      </c>
      <c r="E1239" s="18">
        <v>0</v>
      </c>
      <c r="F1239" s="18">
        <v>0</v>
      </c>
      <c r="G1239" s="18">
        <v>0</v>
      </c>
      <c r="H1239" s="18">
        <v>1</v>
      </c>
      <c r="I1239" s="18">
        <v>2</v>
      </c>
      <c r="J1239" s="18">
        <v>0</v>
      </c>
      <c r="K1239" s="18">
        <v>0</v>
      </c>
      <c r="L1239" s="18">
        <v>0</v>
      </c>
      <c r="M1239" s="18">
        <v>1</v>
      </c>
      <c r="N1239" s="133">
        <f>SUM(B1239:M1239)</f>
        <v>6</v>
      </c>
      <c r="O1239" s="19">
        <f>IF(N1239=0,0,AVERAGE(B1239:M1239))</f>
        <v>0.5</v>
      </c>
      <c r="P1239" s="8"/>
      <c r="Q1239" s="8"/>
      <c r="R1239" s="8"/>
      <c r="S1239" s="8"/>
      <c r="T1239" s="8"/>
      <c r="U1239" s="8"/>
      <c r="V1239" s="8"/>
      <c r="W1239" s="8"/>
      <c r="X1239" s="8"/>
      <c r="Y1239" s="8"/>
      <c r="Z1239" s="8"/>
    </row>
    <row r="1240" spans="1:26" s="9" customFormat="1" ht="15.75">
      <c r="A1240" s="37" t="s">
        <v>19</v>
      </c>
      <c r="B1240" s="18">
        <v>0</v>
      </c>
      <c r="C1240" s="18">
        <v>0</v>
      </c>
      <c r="D1240" s="18">
        <v>3</v>
      </c>
      <c r="E1240" s="18">
        <v>0</v>
      </c>
      <c r="F1240" s="18">
        <v>4</v>
      </c>
      <c r="G1240" s="18">
        <v>3</v>
      </c>
      <c r="H1240" s="18">
        <v>2</v>
      </c>
      <c r="I1240" s="18">
        <v>0</v>
      </c>
      <c r="J1240" s="18">
        <v>1</v>
      </c>
      <c r="K1240" s="18">
        <v>3</v>
      </c>
      <c r="L1240" s="18">
        <v>0</v>
      </c>
      <c r="M1240" s="18">
        <v>0</v>
      </c>
      <c r="N1240" s="133">
        <f>SUM(B1240:M1240)</f>
        <v>16</v>
      </c>
      <c r="O1240" s="19">
        <f>IF(N1240=0,0,AVERAGE(B1240:M1240))</f>
        <v>1.3333333333333333</v>
      </c>
      <c r="P1240" s="8"/>
      <c r="Q1240" s="8"/>
      <c r="R1240" s="8"/>
      <c r="S1240" s="8"/>
      <c r="T1240" s="8"/>
      <c r="U1240" s="8"/>
      <c r="V1240" s="8"/>
      <c r="W1240" s="8"/>
      <c r="X1240" s="8"/>
      <c r="Y1240" s="8"/>
      <c r="Z1240" s="8"/>
    </row>
    <row r="1241" spans="1:26" s="9" customFormat="1" ht="15.75">
      <c r="A1241" s="37" t="s">
        <v>20</v>
      </c>
      <c r="B1241" s="18">
        <v>0</v>
      </c>
      <c r="C1241" s="18">
        <v>0</v>
      </c>
      <c r="D1241" s="18">
        <v>2</v>
      </c>
      <c r="E1241" s="18">
        <v>0</v>
      </c>
      <c r="F1241" s="18">
        <v>0</v>
      </c>
      <c r="G1241" s="18">
        <v>2</v>
      </c>
      <c r="H1241" s="18">
        <v>0</v>
      </c>
      <c r="I1241" s="18">
        <v>0</v>
      </c>
      <c r="J1241" s="18">
        <v>0</v>
      </c>
      <c r="K1241" s="18">
        <v>0</v>
      </c>
      <c r="L1241" s="18">
        <v>0</v>
      </c>
      <c r="M1241" s="18">
        <v>0</v>
      </c>
      <c r="N1241" s="133">
        <f>SUM(B1241:M1241)</f>
        <v>4</v>
      </c>
      <c r="O1241" s="19">
        <f>IF(N1241=0,0,AVERAGE(B1241:M1241))</f>
        <v>0.33333333333333331</v>
      </c>
      <c r="P1241" s="8"/>
      <c r="Q1241" s="8"/>
      <c r="R1241" s="8"/>
      <c r="S1241" s="8"/>
      <c r="T1241" s="8"/>
      <c r="U1241" s="8"/>
      <c r="V1241" s="8"/>
      <c r="W1241" s="8"/>
      <c r="X1241" s="8"/>
      <c r="Y1241" s="8"/>
      <c r="Z1241" s="8"/>
    </row>
    <row r="1242" spans="1:26" s="9" customFormat="1" ht="15.75">
      <c r="A1242" s="56" t="s">
        <v>21</v>
      </c>
      <c r="B1242" s="21">
        <f t="shared" ref="B1242:C1242" si="1704">SUM(B1239:B1241)</f>
        <v>0</v>
      </c>
      <c r="C1242" s="21">
        <f t="shared" si="1704"/>
        <v>2</v>
      </c>
      <c r="D1242" s="21">
        <f t="shared" ref="D1242:E1242" si="1705">SUM(D1239:D1241)</f>
        <v>5</v>
      </c>
      <c r="E1242" s="21">
        <f t="shared" si="1705"/>
        <v>0</v>
      </c>
      <c r="F1242" s="21">
        <f t="shared" ref="F1242:G1242" si="1706">SUM(F1239:F1241)</f>
        <v>4</v>
      </c>
      <c r="G1242" s="21">
        <f t="shared" si="1706"/>
        <v>5</v>
      </c>
      <c r="H1242" s="21">
        <f t="shared" ref="H1242:I1242" si="1707">SUM(H1239:H1241)</f>
        <v>3</v>
      </c>
      <c r="I1242" s="21">
        <f t="shared" si="1707"/>
        <v>2</v>
      </c>
      <c r="J1242" s="21">
        <f t="shared" ref="J1242:K1242" si="1708">SUM(J1239:J1241)</f>
        <v>1</v>
      </c>
      <c r="K1242" s="21">
        <f t="shared" si="1708"/>
        <v>3</v>
      </c>
      <c r="L1242" s="21">
        <f t="shared" ref="L1242:M1242" si="1709">SUM(L1239:L1241)</f>
        <v>0</v>
      </c>
      <c r="M1242" s="21">
        <f t="shared" si="1709"/>
        <v>1</v>
      </c>
      <c r="N1242" s="128">
        <f>SUM(N1239:N1241)</f>
        <v>26</v>
      </c>
      <c r="O1242" s="22">
        <f>SUM(O1239:O1241)</f>
        <v>2.1666666666666665</v>
      </c>
      <c r="P1242" s="8"/>
      <c r="Q1242" s="8"/>
      <c r="R1242" s="8"/>
      <c r="S1242" s="8"/>
      <c r="T1242" s="8"/>
      <c r="U1242" s="8"/>
      <c r="V1242" s="8"/>
      <c r="W1242" s="8"/>
      <c r="X1242" s="8"/>
      <c r="Y1242" s="8"/>
      <c r="Z1242" s="8"/>
    </row>
    <row r="1243" spans="1:26" s="9" customFormat="1" ht="15.75">
      <c r="A1243" s="56" t="s">
        <v>112</v>
      </c>
      <c r="B1243" s="22" t="s">
        <v>44</v>
      </c>
      <c r="C1243" s="22">
        <f>IF(C1242=0,"",C1242/C$1676)</f>
        <v>7.1428571428571425E-2</v>
      </c>
      <c r="D1243" s="22">
        <f>IF(D1242=0,"",D1242/D$1676)</f>
        <v>0.16129032258064516</v>
      </c>
      <c r="E1243" s="22" t="s">
        <v>44</v>
      </c>
      <c r="F1243" s="22">
        <f t="shared" ref="F1243:K1243" si="1710">IF(F1242=0,"",F1242/F$1676)</f>
        <v>0.12903225806451613</v>
      </c>
      <c r="G1243" s="22">
        <f t="shared" si="1710"/>
        <v>0.16666666666666666</v>
      </c>
      <c r="H1243" s="22">
        <f t="shared" si="1710"/>
        <v>9.6774193548387094E-2</v>
      </c>
      <c r="I1243" s="22">
        <f t="shared" si="1710"/>
        <v>6.4516129032258063E-2</v>
      </c>
      <c r="J1243" s="22">
        <f t="shared" si="1710"/>
        <v>3.3333333333333333E-2</v>
      </c>
      <c r="K1243" s="22">
        <f t="shared" si="1710"/>
        <v>9.6774193548387094E-2</v>
      </c>
      <c r="L1243" s="22" t="s">
        <v>44</v>
      </c>
      <c r="M1243" s="22">
        <f t="shared" ref="M1243" si="1711">IF(M1242=0,"",M1242/M$1676)</f>
        <v>3.2258064516129031E-2</v>
      </c>
      <c r="N1243" s="128">
        <f>SUM(B1243:M1243)</f>
        <v>0.85207373271889408</v>
      </c>
      <c r="O1243" s="22">
        <f>IF(N1243=0,0,AVERAGE(B1243:M1243))</f>
        <v>9.4674859190988225E-2</v>
      </c>
      <c r="P1243" s="8"/>
      <c r="Q1243" s="8"/>
      <c r="R1243" s="8"/>
      <c r="S1243" s="8"/>
      <c r="T1243" s="8"/>
      <c r="U1243" s="8"/>
      <c r="V1243" s="8"/>
      <c r="W1243" s="8"/>
      <c r="X1243" s="8"/>
      <c r="Y1243" s="8"/>
      <c r="Z1243" s="8"/>
    </row>
    <row r="1244" spans="1:26" s="9" customFormat="1" ht="15.75">
      <c r="A1244" s="61"/>
      <c r="B1244" s="62"/>
      <c r="C1244" s="62"/>
      <c r="D1244" s="62"/>
      <c r="E1244" s="62"/>
      <c r="F1244" s="62"/>
      <c r="G1244" s="62"/>
      <c r="H1244" s="62"/>
      <c r="I1244" s="62"/>
      <c r="J1244" s="62"/>
      <c r="K1244" s="62"/>
      <c r="L1244" s="62"/>
      <c r="M1244" s="62"/>
      <c r="N1244" s="142"/>
      <c r="O1244" s="63"/>
      <c r="P1244" s="8"/>
      <c r="Q1244" s="8"/>
      <c r="R1244" s="8"/>
      <c r="S1244" s="8"/>
      <c r="T1244" s="8"/>
      <c r="U1244" s="8"/>
      <c r="V1244" s="8"/>
      <c r="W1244" s="8"/>
      <c r="X1244" s="8"/>
      <c r="Y1244" s="8"/>
      <c r="Z1244" s="8"/>
    </row>
    <row r="1245" spans="1:26" s="9" customFormat="1" ht="15.75">
      <c r="A1245" s="60" t="s">
        <v>783</v>
      </c>
      <c r="B1245" s="15"/>
      <c r="C1245" s="15"/>
      <c r="D1245" s="15"/>
      <c r="E1245" s="15"/>
      <c r="F1245" s="15"/>
      <c r="G1245" s="15"/>
      <c r="H1245" s="15"/>
      <c r="I1245" s="15"/>
      <c r="J1245" s="15"/>
      <c r="K1245" s="15"/>
      <c r="L1245" s="15"/>
      <c r="M1245" s="15"/>
      <c r="N1245" s="132"/>
      <c r="O1245" s="16"/>
      <c r="P1245" s="8"/>
      <c r="Q1245" s="8"/>
      <c r="R1245" s="8"/>
      <c r="S1245" s="8"/>
      <c r="T1245" s="8"/>
      <c r="U1245" s="8"/>
      <c r="V1245" s="8"/>
      <c r="W1245" s="8"/>
      <c r="X1245" s="8"/>
      <c r="Y1245" s="8"/>
      <c r="Z1245" s="8"/>
    </row>
    <row r="1246" spans="1:26" s="9" customFormat="1" ht="15.75">
      <c r="A1246" s="34" t="s">
        <v>626</v>
      </c>
      <c r="B1246" s="18">
        <v>0</v>
      </c>
      <c r="C1246" s="18">
        <v>0</v>
      </c>
      <c r="D1246" s="18">
        <v>0</v>
      </c>
      <c r="E1246" s="18">
        <v>0</v>
      </c>
      <c r="F1246" s="18">
        <v>0</v>
      </c>
      <c r="G1246" s="18">
        <v>1</v>
      </c>
      <c r="H1246" s="18">
        <v>0</v>
      </c>
      <c r="I1246" s="18">
        <v>0</v>
      </c>
      <c r="J1246" s="18">
        <v>0</v>
      </c>
      <c r="K1246" s="18">
        <v>0</v>
      </c>
      <c r="L1246" s="18">
        <v>0</v>
      </c>
      <c r="M1246" s="18">
        <v>0</v>
      </c>
      <c r="N1246" s="133">
        <f t="shared" ref="N1246:N1252" si="1712">SUM(B1246:M1246)</f>
        <v>1</v>
      </c>
      <c r="O1246" s="19">
        <f t="shared" ref="O1246:O1252" si="1713">IF(N1246=0,0,AVERAGE(B1246:M1246))</f>
        <v>8.3333333333333329E-2</v>
      </c>
      <c r="P1246" s="8"/>
      <c r="Q1246" s="8"/>
      <c r="R1246" s="8"/>
      <c r="S1246" s="8"/>
      <c r="T1246" s="8"/>
      <c r="U1246" s="8"/>
      <c r="V1246" s="8"/>
      <c r="W1246" s="8"/>
      <c r="X1246" s="8"/>
      <c r="Y1246" s="8"/>
      <c r="Z1246" s="8"/>
    </row>
    <row r="1247" spans="1:26" s="9" customFormat="1" ht="15.75">
      <c r="A1247" s="34" t="s">
        <v>627</v>
      </c>
      <c r="B1247" s="18">
        <v>0</v>
      </c>
      <c r="C1247" s="18">
        <v>0</v>
      </c>
      <c r="D1247" s="18">
        <v>0</v>
      </c>
      <c r="E1247" s="18">
        <v>0</v>
      </c>
      <c r="F1247" s="18">
        <v>0</v>
      </c>
      <c r="G1247" s="18">
        <v>0</v>
      </c>
      <c r="H1247" s="18">
        <v>0</v>
      </c>
      <c r="I1247" s="18">
        <v>0</v>
      </c>
      <c r="J1247" s="18">
        <v>0</v>
      </c>
      <c r="K1247" s="18">
        <v>0</v>
      </c>
      <c r="L1247" s="18">
        <v>0</v>
      </c>
      <c r="M1247" s="18">
        <v>0</v>
      </c>
      <c r="N1247" s="133">
        <f t="shared" si="1712"/>
        <v>0</v>
      </c>
      <c r="O1247" s="19">
        <f t="shared" si="1713"/>
        <v>0</v>
      </c>
      <c r="P1247" s="8"/>
      <c r="Q1247" s="8"/>
      <c r="R1247" s="8"/>
      <c r="S1247" s="8"/>
      <c r="T1247" s="8"/>
      <c r="U1247" s="8"/>
      <c r="V1247" s="8"/>
      <c r="W1247" s="8"/>
      <c r="X1247" s="8"/>
      <c r="Y1247" s="8"/>
      <c r="Z1247" s="8"/>
    </row>
    <row r="1248" spans="1:26" s="9" customFormat="1" ht="15.75">
      <c r="A1248" s="34" t="s">
        <v>628</v>
      </c>
      <c r="B1248" s="18">
        <v>0</v>
      </c>
      <c r="C1248" s="18">
        <v>0</v>
      </c>
      <c r="D1248" s="18">
        <v>0</v>
      </c>
      <c r="E1248" s="18">
        <v>0</v>
      </c>
      <c r="F1248" s="18">
        <v>0</v>
      </c>
      <c r="G1248" s="18">
        <v>0</v>
      </c>
      <c r="H1248" s="18">
        <v>0</v>
      </c>
      <c r="I1248" s="18">
        <v>0</v>
      </c>
      <c r="J1248" s="18">
        <v>0</v>
      </c>
      <c r="K1248" s="18">
        <v>0</v>
      </c>
      <c r="L1248" s="18">
        <v>0</v>
      </c>
      <c r="M1248" s="18">
        <v>0</v>
      </c>
      <c r="N1248" s="133">
        <f t="shared" si="1712"/>
        <v>0</v>
      </c>
      <c r="O1248" s="19">
        <f t="shared" si="1713"/>
        <v>0</v>
      </c>
      <c r="P1248" s="8"/>
      <c r="Q1248" s="8"/>
      <c r="R1248" s="8"/>
      <c r="S1248" s="8"/>
      <c r="T1248" s="8"/>
      <c r="U1248" s="8"/>
      <c r="V1248" s="8"/>
      <c r="W1248" s="8"/>
      <c r="X1248" s="8"/>
      <c r="Y1248" s="8"/>
      <c r="Z1248" s="8"/>
    </row>
    <row r="1249" spans="1:26" s="9" customFormat="1" ht="15.75">
      <c r="A1249" s="34" t="s">
        <v>629</v>
      </c>
      <c r="B1249" s="18">
        <v>0</v>
      </c>
      <c r="C1249" s="18">
        <v>0</v>
      </c>
      <c r="D1249" s="18">
        <v>0</v>
      </c>
      <c r="E1249" s="18">
        <v>0</v>
      </c>
      <c r="F1249" s="18">
        <v>0</v>
      </c>
      <c r="G1249" s="18">
        <v>0</v>
      </c>
      <c r="H1249" s="18">
        <v>0</v>
      </c>
      <c r="I1249" s="18">
        <v>0</v>
      </c>
      <c r="J1249" s="18">
        <v>0</v>
      </c>
      <c r="K1249" s="18">
        <v>0</v>
      </c>
      <c r="L1249" s="18">
        <v>0</v>
      </c>
      <c r="M1249" s="18">
        <v>0</v>
      </c>
      <c r="N1249" s="133">
        <f t="shared" si="1712"/>
        <v>0</v>
      </c>
      <c r="O1249" s="19">
        <f t="shared" si="1713"/>
        <v>0</v>
      </c>
      <c r="P1249" s="8"/>
      <c r="Q1249" s="8"/>
      <c r="R1249" s="8"/>
      <c r="S1249" s="8"/>
      <c r="T1249" s="8"/>
      <c r="U1249" s="8"/>
      <c r="V1249" s="8"/>
      <c r="W1249" s="8"/>
      <c r="X1249" s="8"/>
      <c r="Y1249" s="8"/>
      <c r="Z1249" s="8"/>
    </row>
    <row r="1250" spans="1:26" s="9" customFormat="1" ht="15.75">
      <c r="A1250" s="34" t="s">
        <v>630</v>
      </c>
      <c r="B1250" s="18">
        <v>0</v>
      </c>
      <c r="C1250" s="18">
        <v>0</v>
      </c>
      <c r="D1250" s="18">
        <v>0</v>
      </c>
      <c r="E1250" s="18">
        <v>0</v>
      </c>
      <c r="F1250" s="18">
        <v>0</v>
      </c>
      <c r="G1250" s="18">
        <v>0</v>
      </c>
      <c r="H1250" s="18">
        <v>0</v>
      </c>
      <c r="I1250" s="18">
        <v>0</v>
      </c>
      <c r="J1250" s="18">
        <v>0</v>
      </c>
      <c r="K1250" s="18">
        <v>0</v>
      </c>
      <c r="L1250" s="18">
        <v>0</v>
      </c>
      <c r="M1250" s="18">
        <v>0</v>
      </c>
      <c r="N1250" s="133">
        <f t="shared" si="1712"/>
        <v>0</v>
      </c>
      <c r="O1250" s="19">
        <f t="shared" si="1713"/>
        <v>0</v>
      </c>
      <c r="P1250" s="8"/>
      <c r="Q1250" s="8"/>
      <c r="R1250" s="8"/>
      <c r="S1250" s="8"/>
      <c r="T1250" s="8"/>
      <c r="U1250" s="8"/>
      <c r="V1250" s="8"/>
      <c r="W1250" s="8"/>
      <c r="X1250" s="8"/>
      <c r="Y1250" s="8"/>
      <c r="Z1250" s="8"/>
    </row>
    <row r="1251" spans="1:26" s="9" customFormat="1" ht="15.75">
      <c r="A1251" s="34" t="s">
        <v>631</v>
      </c>
      <c r="B1251" s="18">
        <v>0</v>
      </c>
      <c r="C1251" s="18">
        <v>0</v>
      </c>
      <c r="D1251" s="18">
        <v>0</v>
      </c>
      <c r="E1251" s="18">
        <v>0</v>
      </c>
      <c r="F1251" s="18">
        <v>0</v>
      </c>
      <c r="G1251" s="18">
        <v>0</v>
      </c>
      <c r="H1251" s="18">
        <v>0</v>
      </c>
      <c r="I1251" s="18">
        <v>0</v>
      </c>
      <c r="J1251" s="18">
        <v>0</v>
      </c>
      <c r="K1251" s="18">
        <v>0</v>
      </c>
      <c r="L1251" s="18">
        <v>0</v>
      </c>
      <c r="M1251" s="18">
        <v>0</v>
      </c>
      <c r="N1251" s="133">
        <f t="shared" si="1712"/>
        <v>0</v>
      </c>
      <c r="O1251" s="19">
        <f t="shared" si="1713"/>
        <v>0</v>
      </c>
      <c r="P1251" s="8"/>
      <c r="Q1251" s="8"/>
      <c r="R1251" s="8"/>
      <c r="S1251" s="8"/>
      <c r="T1251" s="8"/>
      <c r="U1251" s="8"/>
      <c r="V1251" s="8"/>
      <c r="W1251" s="8"/>
      <c r="X1251" s="8"/>
      <c r="Y1251" s="8"/>
      <c r="Z1251" s="8"/>
    </row>
    <row r="1252" spans="1:26" s="9" customFormat="1" ht="15.75">
      <c r="A1252" s="34" t="s">
        <v>22</v>
      </c>
      <c r="B1252" s="18">
        <v>0</v>
      </c>
      <c r="C1252" s="18">
        <v>0</v>
      </c>
      <c r="D1252" s="18">
        <v>0</v>
      </c>
      <c r="E1252" s="18">
        <v>0</v>
      </c>
      <c r="F1252" s="18">
        <v>0</v>
      </c>
      <c r="G1252" s="18">
        <v>0</v>
      </c>
      <c r="H1252" s="18">
        <v>0</v>
      </c>
      <c r="I1252" s="18">
        <v>0</v>
      </c>
      <c r="J1252" s="18">
        <v>0</v>
      </c>
      <c r="K1252" s="18">
        <v>0</v>
      </c>
      <c r="L1252" s="18">
        <v>0</v>
      </c>
      <c r="M1252" s="18">
        <v>0</v>
      </c>
      <c r="N1252" s="133">
        <f t="shared" si="1712"/>
        <v>0</v>
      </c>
      <c r="O1252" s="19">
        <f t="shared" si="1713"/>
        <v>0</v>
      </c>
      <c r="P1252" s="8"/>
      <c r="Q1252" s="8"/>
      <c r="R1252" s="8"/>
      <c r="S1252" s="8"/>
      <c r="T1252" s="8"/>
      <c r="U1252" s="8"/>
      <c r="V1252" s="8"/>
      <c r="W1252" s="8"/>
      <c r="X1252" s="8"/>
      <c r="Y1252" s="8"/>
      <c r="Z1252" s="8"/>
    </row>
    <row r="1253" spans="1:26" s="9" customFormat="1" ht="15.75">
      <c r="A1253" s="56" t="s">
        <v>21</v>
      </c>
      <c r="B1253" s="21">
        <f t="shared" ref="B1253:C1253" si="1714">SUM(B1246:B1252)</f>
        <v>0</v>
      </c>
      <c r="C1253" s="21">
        <f t="shared" si="1714"/>
        <v>0</v>
      </c>
      <c r="D1253" s="21">
        <f t="shared" ref="D1253:E1253" si="1715">SUM(D1246:D1252)</f>
        <v>0</v>
      </c>
      <c r="E1253" s="21">
        <f t="shared" si="1715"/>
        <v>0</v>
      </c>
      <c r="F1253" s="21">
        <f t="shared" ref="F1253:G1253" si="1716">SUM(F1246:F1252)</f>
        <v>0</v>
      </c>
      <c r="G1253" s="21">
        <f t="shared" si="1716"/>
        <v>1</v>
      </c>
      <c r="H1253" s="21">
        <f t="shared" ref="H1253:I1253" si="1717">SUM(H1246:H1252)</f>
        <v>0</v>
      </c>
      <c r="I1253" s="21">
        <f t="shared" si="1717"/>
        <v>0</v>
      </c>
      <c r="J1253" s="21">
        <f t="shared" ref="J1253:K1253" si="1718">SUM(J1246:J1252)</f>
        <v>0</v>
      </c>
      <c r="K1253" s="21">
        <f t="shared" si="1718"/>
        <v>0</v>
      </c>
      <c r="L1253" s="21">
        <f t="shared" ref="L1253:M1253" si="1719">SUM(L1246:L1252)</f>
        <v>0</v>
      </c>
      <c r="M1253" s="21">
        <f t="shared" si="1719"/>
        <v>0</v>
      </c>
      <c r="N1253" s="128">
        <f>SUM(N1246:N1252)</f>
        <v>1</v>
      </c>
      <c r="O1253" s="22">
        <f>SUM(O1246:O1252)</f>
        <v>8.3333333333333329E-2</v>
      </c>
      <c r="P1253" s="8"/>
      <c r="Q1253" s="8"/>
      <c r="R1253" s="8"/>
      <c r="S1253" s="8"/>
      <c r="T1253" s="8"/>
      <c r="U1253" s="8"/>
      <c r="V1253" s="8"/>
      <c r="W1253" s="8"/>
      <c r="X1253" s="8"/>
      <c r="Y1253" s="8"/>
      <c r="Z1253" s="8"/>
    </row>
    <row r="1254" spans="1:26" s="9" customFormat="1" ht="15.75">
      <c r="A1254" s="56" t="s">
        <v>112</v>
      </c>
      <c r="B1254" s="22" t="s">
        <v>44</v>
      </c>
      <c r="C1254" s="22" t="s">
        <v>44</v>
      </c>
      <c r="D1254" s="22" t="s">
        <v>44</v>
      </c>
      <c r="E1254" s="22" t="s">
        <v>44</v>
      </c>
      <c r="F1254" s="22" t="s">
        <v>44</v>
      </c>
      <c r="G1254" s="22">
        <f>IF(G1253=0,"",G1253/G$1676)</f>
        <v>3.3333333333333333E-2</v>
      </c>
      <c r="H1254" s="22" t="s">
        <v>44</v>
      </c>
      <c r="I1254" s="22" t="s">
        <v>44</v>
      </c>
      <c r="J1254" s="22" t="s">
        <v>44</v>
      </c>
      <c r="K1254" s="22" t="s">
        <v>44</v>
      </c>
      <c r="L1254" s="22" t="s">
        <v>44</v>
      </c>
      <c r="M1254" s="22" t="s">
        <v>44</v>
      </c>
      <c r="N1254" s="128">
        <f>SUM(B1254:M1254)</f>
        <v>3.3333333333333333E-2</v>
      </c>
      <c r="O1254" s="22">
        <f>IF(N1254=0,0,AVERAGE(B1254:M1254))</f>
        <v>3.3333333333333333E-2</v>
      </c>
      <c r="P1254" s="8"/>
      <c r="Q1254" s="8"/>
      <c r="R1254" s="8"/>
      <c r="S1254" s="8"/>
      <c r="T1254" s="8"/>
      <c r="U1254" s="8"/>
      <c r="V1254" s="8"/>
      <c r="W1254" s="8"/>
      <c r="X1254" s="8"/>
      <c r="Y1254" s="8"/>
      <c r="Z1254" s="8"/>
    </row>
    <row r="1255" spans="1:26" s="9" customFormat="1">
      <c r="A1255" s="61"/>
      <c r="B1255" s="62"/>
      <c r="C1255" s="62"/>
      <c r="D1255" s="62"/>
      <c r="E1255" s="62"/>
      <c r="F1255" s="62"/>
      <c r="G1255" s="62"/>
      <c r="H1255" s="62"/>
      <c r="I1255" s="62"/>
      <c r="J1255" s="62"/>
      <c r="K1255" s="62"/>
      <c r="L1255" s="62"/>
      <c r="M1255" s="62"/>
      <c r="N1255" s="142"/>
      <c r="O1255" s="250"/>
      <c r="P1255" s="8"/>
      <c r="Q1255" s="8"/>
      <c r="R1255" s="8"/>
      <c r="S1255" s="8"/>
      <c r="T1255" s="8"/>
      <c r="U1255" s="8"/>
      <c r="V1255" s="8"/>
      <c r="W1255" s="8"/>
      <c r="X1255" s="8"/>
      <c r="Y1255" s="8"/>
      <c r="Z1255" s="8"/>
    </row>
    <row r="1256" spans="1:26" s="9" customFormat="1" ht="15.75">
      <c r="A1256" s="85" t="s">
        <v>153</v>
      </c>
      <c r="B1256" s="86">
        <f t="shared" ref="B1256:C1256" si="1720">B1242</f>
        <v>0</v>
      </c>
      <c r="C1256" s="86">
        <f t="shared" si="1720"/>
        <v>2</v>
      </c>
      <c r="D1256" s="86">
        <f t="shared" ref="D1256:E1256" si="1721">D1242</f>
        <v>5</v>
      </c>
      <c r="E1256" s="86">
        <f t="shared" si="1721"/>
        <v>0</v>
      </c>
      <c r="F1256" s="86">
        <f t="shared" ref="F1256:G1256" si="1722">F1242</f>
        <v>4</v>
      </c>
      <c r="G1256" s="86">
        <f t="shared" si="1722"/>
        <v>5</v>
      </c>
      <c r="H1256" s="86">
        <f t="shared" ref="H1256:I1256" si="1723">H1242</f>
        <v>3</v>
      </c>
      <c r="I1256" s="86">
        <f t="shared" si="1723"/>
        <v>2</v>
      </c>
      <c r="J1256" s="86">
        <f t="shared" ref="J1256:K1256" si="1724">J1242</f>
        <v>1</v>
      </c>
      <c r="K1256" s="86">
        <f t="shared" si="1724"/>
        <v>3</v>
      </c>
      <c r="L1256" s="86">
        <f t="shared" ref="L1256:M1256" si="1725">L1242</f>
        <v>0</v>
      </c>
      <c r="M1256" s="86">
        <f t="shared" si="1725"/>
        <v>1</v>
      </c>
      <c r="N1256" s="133">
        <f>N1242</f>
        <v>26</v>
      </c>
      <c r="O1256" s="19">
        <f>O1242</f>
        <v>2.1666666666666665</v>
      </c>
      <c r="P1256" s="8"/>
      <c r="Q1256" s="8"/>
      <c r="R1256" s="8"/>
      <c r="S1256" s="8"/>
      <c r="T1256" s="8"/>
      <c r="U1256" s="8"/>
      <c r="V1256" s="8"/>
      <c r="W1256" s="8"/>
      <c r="X1256" s="8"/>
      <c r="Y1256" s="8"/>
      <c r="Z1256" s="8"/>
    </row>
    <row r="1257" spans="1:26" s="9" customFormat="1" ht="15.75">
      <c r="A1257" s="85" t="s">
        <v>154</v>
      </c>
      <c r="B1257" s="86">
        <f t="shared" ref="B1257:C1257" si="1726">B1253</f>
        <v>0</v>
      </c>
      <c r="C1257" s="86">
        <f t="shared" si="1726"/>
        <v>0</v>
      </c>
      <c r="D1257" s="86">
        <f t="shared" ref="D1257:E1257" si="1727">D1253</f>
        <v>0</v>
      </c>
      <c r="E1257" s="86">
        <f t="shared" si="1727"/>
        <v>0</v>
      </c>
      <c r="F1257" s="86">
        <f t="shared" ref="F1257:G1257" si="1728">F1253</f>
        <v>0</v>
      </c>
      <c r="G1257" s="86">
        <f t="shared" si="1728"/>
        <v>1</v>
      </c>
      <c r="H1257" s="86">
        <f t="shared" ref="H1257:I1257" si="1729">H1253</f>
        <v>0</v>
      </c>
      <c r="I1257" s="86">
        <f t="shared" si="1729"/>
        <v>0</v>
      </c>
      <c r="J1257" s="86">
        <f t="shared" ref="J1257:K1257" si="1730">J1253</f>
        <v>0</v>
      </c>
      <c r="K1257" s="86">
        <f t="shared" si="1730"/>
        <v>0</v>
      </c>
      <c r="L1257" s="86">
        <f t="shared" ref="L1257:M1257" si="1731">L1253</f>
        <v>0</v>
      </c>
      <c r="M1257" s="86">
        <f t="shared" si="1731"/>
        <v>0</v>
      </c>
      <c r="N1257" s="133">
        <f>N1253</f>
        <v>1</v>
      </c>
      <c r="O1257" s="19">
        <f>O1253</f>
        <v>8.3333333333333329E-2</v>
      </c>
      <c r="P1257" s="8"/>
      <c r="Q1257" s="8"/>
      <c r="R1257" s="8"/>
      <c r="S1257" s="8"/>
      <c r="T1257" s="8"/>
      <c r="U1257" s="8"/>
      <c r="V1257" s="8"/>
      <c r="W1257" s="8"/>
      <c r="X1257" s="8"/>
      <c r="Y1257" s="8"/>
      <c r="Z1257" s="8"/>
    </row>
    <row r="1258" spans="1:26" s="9" customFormat="1" ht="15.75">
      <c r="A1258" s="342" t="s">
        <v>155</v>
      </c>
      <c r="B1258" s="333">
        <f t="shared" ref="B1258:C1258" si="1732">SUM(B1256:B1257)</f>
        <v>0</v>
      </c>
      <c r="C1258" s="333">
        <f t="shared" si="1732"/>
        <v>2</v>
      </c>
      <c r="D1258" s="333">
        <f t="shared" ref="D1258:E1258" si="1733">SUM(D1256:D1257)</f>
        <v>5</v>
      </c>
      <c r="E1258" s="333">
        <f t="shared" si="1733"/>
        <v>0</v>
      </c>
      <c r="F1258" s="333">
        <f t="shared" ref="F1258:G1258" si="1734">SUM(F1256:F1257)</f>
        <v>4</v>
      </c>
      <c r="G1258" s="333">
        <f t="shared" si="1734"/>
        <v>6</v>
      </c>
      <c r="H1258" s="333">
        <f t="shared" ref="H1258:I1258" si="1735">SUM(H1256:H1257)</f>
        <v>3</v>
      </c>
      <c r="I1258" s="333">
        <f t="shared" si="1735"/>
        <v>2</v>
      </c>
      <c r="J1258" s="333">
        <f t="shared" ref="J1258:K1258" si="1736">SUM(J1256:J1257)</f>
        <v>1</v>
      </c>
      <c r="K1258" s="333">
        <f t="shared" si="1736"/>
        <v>3</v>
      </c>
      <c r="L1258" s="333">
        <f t="shared" ref="L1258:M1258" si="1737">SUM(L1256:L1257)</f>
        <v>0</v>
      </c>
      <c r="M1258" s="333">
        <f t="shared" si="1737"/>
        <v>1</v>
      </c>
      <c r="N1258" s="334">
        <f>SUM(N1256:N1257)</f>
        <v>27</v>
      </c>
      <c r="O1258" s="335">
        <f>SUM(O1256:O1257)</f>
        <v>2.25</v>
      </c>
      <c r="P1258" s="8"/>
      <c r="Q1258" s="8"/>
      <c r="R1258" s="8"/>
      <c r="S1258" s="8"/>
      <c r="T1258" s="8"/>
      <c r="U1258" s="8"/>
      <c r="V1258" s="8"/>
      <c r="W1258" s="8"/>
      <c r="X1258" s="8"/>
      <c r="Y1258" s="8"/>
      <c r="Z1258" s="8"/>
    </row>
    <row r="1259" spans="1:26" s="9" customFormat="1" ht="15.75">
      <c r="A1259" s="123"/>
      <c r="B1259" s="124"/>
      <c r="C1259" s="124"/>
      <c r="D1259" s="124"/>
      <c r="E1259" s="124"/>
      <c r="F1259" s="124"/>
      <c r="G1259" s="124"/>
      <c r="H1259" s="124"/>
      <c r="I1259" s="124"/>
      <c r="J1259" s="124"/>
      <c r="K1259" s="124"/>
      <c r="L1259" s="124"/>
      <c r="M1259" s="124"/>
      <c r="N1259" s="155"/>
      <c r="O1259" s="125"/>
      <c r="P1259" s="8"/>
      <c r="Q1259" s="8"/>
      <c r="R1259" s="8"/>
      <c r="S1259" s="8"/>
      <c r="T1259" s="8"/>
      <c r="U1259" s="8"/>
      <c r="V1259" s="8"/>
      <c r="W1259" s="8"/>
      <c r="X1259" s="8"/>
      <c r="Y1259" s="8"/>
      <c r="Z1259" s="8"/>
    </row>
    <row r="1260" spans="1:26" s="9" customFormat="1" ht="15.75">
      <c r="A1260" s="361" t="s">
        <v>784</v>
      </c>
      <c r="B1260" s="353"/>
      <c r="C1260" s="353"/>
      <c r="D1260" s="353"/>
      <c r="E1260" s="353"/>
      <c r="F1260" s="353"/>
      <c r="G1260" s="353"/>
      <c r="H1260" s="353"/>
      <c r="I1260" s="353"/>
      <c r="J1260" s="353"/>
      <c r="K1260" s="353"/>
      <c r="L1260" s="353"/>
      <c r="M1260" s="353"/>
      <c r="N1260" s="354"/>
      <c r="O1260" s="355"/>
      <c r="P1260" s="8"/>
      <c r="Q1260" s="8"/>
      <c r="R1260" s="8"/>
      <c r="S1260" s="8"/>
      <c r="T1260" s="8"/>
      <c r="U1260" s="8"/>
      <c r="V1260" s="8"/>
      <c r="W1260" s="8"/>
      <c r="X1260" s="8"/>
      <c r="Y1260" s="8"/>
      <c r="Z1260" s="8"/>
    </row>
    <row r="1261" spans="1:26" s="9" customFormat="1" ht="15.75">
      <c r="A1261" s="356" t="s">
        <v>785</v>
      </c>
      <c r="B1261" s="366"/>
      <c r="C1261" s="366"/>
      <c r="D1261" s="366"/>
      <c r="E1261" s="366"/>
      <c r="F1261" s="366"/>
      <c r="G1261" s="366"/>
      <c r="H1261" s="366"/>
      <c r="I1261" s="366"/>
      <c r="J1261" s="366"/>
      <c r="K1261" s="366"/>
      <c r="L1261" s="366"/>
      <c r="M1261" s="366"/>
      <c r="N1261" s="367"/>
      <c r="O1261" s="368"/>
      <c r="P1261" s="8"/>
      <c r="Q1261" s="8"/>
      <c r="R1261" s="8"/>
      <c r="S1261" s="8"/>
      <c r="T1261" s="8"/>
      <c r="U1261" s="8"/>
      <c r="V1261" s="8"/>
      <c r="W1261" s="8"/>
      <c r="X1261" s="8"/>
      <c r="Y1261" s="8"/>
      <c r="Z1261" s="8"/>
    </row>
    <row r="1262" spans="1:26" s="9" customFormat="1" ht="15.75">
      <c r="A1262" s="336" t="s">
        <v>616</v>
      </c>
      <c r="B1262" s="18">
        <v>232</v>
      </c>
      <c r="C1262" s="18">
        <v>249</v>
      </c>
      <c r="D1262" s="18">
        <v>232</v>
      </c>
      <c r="E1262" s="18">
        <v>198</v>
      </c>
      <c r="F1262" s="18">
        <v>161</v>
      </c>
      <c r="G1262" s="18">
        <v>314</v>
      </c>
      <c r="H1262" s="18">
        <v>482</v>
      </c>
      <c r="I1262" s="18">
        <v>268</v>
      </c>
      <c r="J1262" s="81">
        <v>358</v>
      </c>
      <c r="K1262" s="81">
        <v>420</v>
      </c>
      <c r="L1262" s="18">
        <v>337</v>
      </c>
      <c r="M1262" s="18">
        <v>415</v>
      </c>
      <c r="N1262" s="133">
        <f>SUM(B1262:M1262)</f>
        <v>3666</v>
      </c>
      <c r="O1262" s="19">
        <f>IF(N1262=0,0,AVERAGE(B1262:M1262))</f>
        <v>305.5</v>
      </c>
      <c r="P1262" s="8"/>
      <c r="Q1262" s="8"/>
      <c r="R1262" s="8"/>
      <c r="S1262" s="8"/>
      <c r="T1262" s="8"/>
      <c r="U1262" s="8"/>
      <c r="V1262" s="8"/>
      <c r="W1262" s="8"/>
      <c r="X1262" s="8"/>
      <c r="Y1262" s="8"/>
      <c r="Z1262" s="8"/>
    </row>
    <row r="1263" spans="1:26" s="9" customFormat="1" ht="15.75">
      <c r="A1263" s="336" t="s">
        <v>617</v>
      </c>
      <c r="B1263" s="18">
        <v>314</v>
      </c>
      <c r="C1263" s="18">
        <v>266</v>
      </c>
      <c r="D1263" s="18">
        <v>254</v>
      </c>
      <c r="E1263" s="18">
        <v>231</v>
      </c>
      <c r="F1263" s="18">
        <v>198</v>
      </c>
      <c r="G1263" s="18">
        <v>761</v>
      </c>
      <c r="H1263" s="18">
        <v>901</v>
      </c>
      <c r="I1263" s="18">
        <v>895</v>
      </c>
      <c r="J1263" s="81">
        <v>776</v>
      </c>
      <c r="K1263" s="81">
        <v>811</v>
      </c>
      <c r="L1263" s="18">
        <v>884</v>
      </c>
      <c r="M1263" s="18">
        <v>935</v>
      </c>
      <c r="N1263" s="133">
        <f t="shared" ref="N1263:N1265" si="1738">SUM(B1263:M1263)</f>
        <v>7226</v>
      </c>
      <c r="O1263" s="19">
        <f t="shared" ref="O1263:O1265" si="1739">IF(N1263=0,0,AVERAGE(B1263:M1263))</f>
        <v>602.16666666666663</v>
      </c>
      <c r="P1263" s="8"/>
      <c r="Q1263" s="8"/>
      <c r="R1263" s="8"/>
      <c r="S1263" s="8"/>
      <c r="T1263" s="8"/>
      <c r="U1263" s="8"/>
      <c r="V1263" s="8"/>
      <c r="W1263" s="8"/>
      <c r="X1263" s="8"/>
      <c r="Y1263" s="8"/>
      <c r="Z1263" s="8"/>
    </row>
    <row r="1264" spans="1:26" s="9" customFormat="1" ht="15.75">
      <c r="A1264" s="336" t="s">
        <v>618</v>
      </c>
      <c r="B1264" s="18">
        <v>541</v>
      </c>
      <c r="C1264" s="18">
        <v>431</v>
      </c>
      <c r="D1264" s="18">
        <v>445</v>
      </c>
      <c r="E1264" s="18">
        <v>416</v>
      </c>
      <c r="F1264" s="18">
        <v>381</v>
      </c>
      <c r="G1264" s="18">
        <v>379</v>
      </c>
      <c r="H1264" s="18">
        <v>479</v>
      </c>
      <c r="I1264" s="18">
        <v>283</v>
      </c>
      <c r="J1264" s="81">
        <v>376</v>
      </c>
      <c r="K1264" s="81">
        <v>424</v>
      </c>
      <c r="L1264" s="18">
        <v>388</v>
      </c>
      <c r="M1264" s="18">
        <v>442</v>
      </c>
      <c r="N1264" s="133">
        <f t="shared" si="1738"/>
        <v>4985</v>
      </c>
      <c r="O1264" s="19">
        <f t="shared" si="1739"/>
        <v>415.41666666666669</v>
      </c>
      <c r="P1264" s="8"/>
      <c r="Q1264" s="8"/>
      <c r="R1264" s="8"/>
      <c r="S1264" s="8"/>
      <c r="T1264" s="8"/>
      <c r="U1264" s="8"/>
      <c r="V1264" s="8"/>
      <c r="W1264" s="8"/>
      <c r="X1264" s="8"/>
      <c r="Y1264" s="8"/>
      <c r="Z1264" s="8"/>
    </row>
    <row r="1265" spans="1:26" s="9" customFormat="1" ht="15.75">
      <c r="A1265" s="337" t="s">
        <v>22</v>
      </c>
      <c r="B1265" s="18">
        <v>109</v>
      </c>
      <c r="C1265" s="18">
        <v>112</v>
      </c>
      <c r="D1265" s="18">
        <v>98</v>
      </c>
      <c r="E1265" s="18">
        <v>65</v>
      </c>
      <c r="F1265" s="18">
        <v>42</v>
      </c>
      <c r="G1265" s="18">
        <v>152</v>
      </c>
      <c r="H1265" s="18">
        <v>110</v>
      </c>
      <c r="I1265" s="18">
        <v>133</v>
      </c>
      <c r="J1265" s="81">
        <v>117</v>
      </c>
      <c r="K1265" s="81">
        <v>67</v>
      </c>
      <c r="L1265" s="18">
        <v>70</v>
      </c>
      <c r="M1265" s="18">
        <v>75</v>
      </c>
      <c r="N1265" s="133">
        <f t="shared" si="1738"/>
        <v>1150</v>
      </c>
      <c r="O1265" s="19">
        <f t="shared" si="1739"/>
        <v>95.833333333333329</v>
      </c>
      <c r="P1265" s="8"/>
      <c r="Q1265" s="8"/>
      <c r="R1265" s="8"/>
      <c r="S1265" s="8"/>
      <c r="T1265" s="8"/>
      <c r="U1265" s="8"/>
      <c r="V1265" s="8"/>
      <c r="W1265" s="8"/>
      <c r="X1265" s="8"/>
      <c r="Y1265" s="8"/>
      <c r="Z1265" s="8"/>
    </row>
    <row r="1266" spans="1:26" s="9" customFormat="1" ht="15.75">
      <c r="A1266" s="56" t="s">
        <v>21</v>
      </c>
      <c r="B1266" s="21">
        <f t="shared" ref="B1266:C1266" si="1740">SUM(B1262:B1265)</f>
        <v>1196</v>
      </c>
      <c r="C1266" s="21">
        <f t="shared" si="1740"/>
        <v>1058</v>
      </c>
      <c r="D1266" s="21">
        <f t="shared" ref="D1266:E1266" si="1741">SUM(D1262:D1265)</f>
        <v>1029</v>
      </c>
      <c r="E1266" s="21">
        <f t="shared" si="1741"/>
        <v>910</v>
      </c>
      <c r="F1266" s="21">
        <f t="shared" ref="F1266:G1266" si="1742">SUM(F1262:F1265)</f>
        <v>782</v>
      </c>
      <c r="G1266" s="21">
        <f t="shared" si="1742"/>
        <v>1606</v>
      </c>
      <c r="H1266" s="21">
        <f t="shared" ref="H1266:I1266" si="1743">SUM(H1262:H1265)</f>
        <v>1972</v>
      </c>
      <c r="I1266" s="21">
        <f t="shared" si="1743"/>
        <v>1579</v>
      </c>
      <c r="J1266" s="21">
        <f t="shared" ref="J1266:K1266" si="1744">SUM(J1262:J1265)</f>
        <v>1627</v>
      </c>
      <c r="K1266" s="21">
        <f t="shared" si="1744"/>
        <v>1722</v>
      </c>
      <c r="L1266" s="21">
        <f t="shared" ref="L1266:M1266" si="1745">SUM(L1262:L1265)</f>
        <v>1679</v>
      </c>
      <c r="M1266" s="21">
        <f t="shared" si="1745"/>
        <v>1867</v>
      </c>
      <c r="N1266" s="128">
        <f>SUM(N1262:N1265)</f>
        <v>17027</v>
      </c>
      <c r="O1266" s="22">
        <f>SUM(O1262:O1265)</f>
        <v>1418.9166666666665</v>
      </c>
      <c r="P1266" s="8"/>
      <c r="Q1266" s="8"/>
      <c r="R1266" s="8"/>
      <c r="S1266" s="8"/>
      <c r="T1266" s="8"/>
      <c r="U1266" s="8"/>
      <c r="V1266" s="8"/>
      <c r="W1266" s="8"/>
      <c r="X1266" s="8"/>
      <c r="Y1266" s="8"/>
      <c r="Z1266" s="8"/>
    </row>
    <row r="1267" spans="1:26" s="9" customFormat="1" ht="15.75">
      <c r="A1267" s="56" t="s">
        <v>112</v>
      </c>
      <c r="B1267" s="22">
        <f t="shared" ref="B1267:G1267" si="1746">IF(B1266=0,"",B1266/B$1676)</f>
        <v>38.58064516129032</v>
      </c>
      <c r="C1267" s="22">
        <f t="shared" si="1746"/>
        <v>37.785714285714285</v>
      </c>
      <c r="D1267" s="22">
        <f t="shared" si="1746"/>
        <v>33.193548387096776</v>
      </c>
      <c r="E1267" s="22">
        <f t="shared" si="1746"/>
        <v>30.333333333333332</v>
      </c>
      <c r="F1267" s="22">
        <f t="shared" si="1746"/>
        <v>25.225806451612904</v>
      </c>
      <c r="G1267" s="22">
        <f t="shared" si="1746"/>
        <v>53.533333333333331</v>
      </c>
      <c r="H1267" s="22">
        <f t="shared" ref="H1267:I1267" si="1747">IF(H1266=0,"",H1266/H$1676)</f>
        <v>63.612903225806448</v>
      </c>
      <c r="I1267" s="22">
        <f t="shared" si="1747"/>
        <v>50.935483870967744</v>
      </c>
      <c r="J1267" s="22">
        <f t="shared" ref="J1267:K1267" si="1748">IF(J1266=0,"",J1266/J$1676)</f>
        <v>54.233333333333334</v>
      </c>
      <c r="K1267" s="22">
        <f t="shared" si="1748"/>
        <v>55.548387096774192</v>
      </c>
      <c r="L1267" s="22">
        <f t="shared" ref="L1267:M1267" si="1749">IF(L1266=0,"",L1266/L$1676)</f>
        <v>55.966666666666669</v>
      </c>
      <c r="M1267" s="22">
        <f t="shared" si="1749"/>
        <v>60.225806451612904</v>
      </c>
      <c r="N1267" s="128">
        <f>SUM(B1267:M1267)</f>
        <v>559.17496159754228</v>
      </c>
      <c r="O1267" s="22">
        <f>IF(N1267=0,0,AVERAGE(B1267:M1267))</f>
        <v>46.597913466461854</v>
      </c>
      <c r="P1267" s="8"/>
      <c r="Q1267" s="8"/>
      <c r="R1267" s="8"/>
      <c r="S1267" s="8"/>
      <c r="T1267" s="8"/>
      <c r="U1267" s="8"/>
      <c r="V1267" s="8"/>
      <c r="W1267" s="8"/>
      <c r="X1267" s="8"/>
      <c r="Y1267" s="8"/>
      <c r="Z1267" s="8"/>
    </row>
    <row r="1268" spans="1:26" s="9" customFormat="1" ht="15.75">
      <c r="A1268" s="123"/>
      <c r="B1268" s="124"/>
      <c r="C1268" s="124"/>
      <c r="D1268" s="124"/>
      <c r="E1268" s="124"/>
      <c r="F1268" s="124"/>
      <c r="G1268" s="124"/>
      <c r="H1268" s="124"/>
      <c r="I1268" s="124"/>
      <c r="J1268" s="124"/>
      <c r="K1268" s="124"/>
      <c r="L1268" s="124"/>
      <c r="M1268" s="124"/>
      <c r="N1268" s="155"/>
      <c r="O1268" s="125"/>
      <c r="P1268" s="8"/>
      <c r="Q1268" s="8"/>
      <c r="R1268" s="8"/>
      <c r="S1268" s="8"/>
      <c r="T1268" s="8"/>
      <c r="U1268" s="8"/>
      <c r="V1268" s="8"/>
      <c r="W1268" s="8"/>
      <c r="X1268" s="8"/>
      <c r="Y1268" s="8"/>
      <c r="Z1268" s="8"/>
    </row>
    <row r="1269" spans="1:26" s="9" customFormat="1" ht="15.75">
      <c r="A1269" s="60" t="s">
        <v>786</v>
      </c>
      <c r="B1269" s="75"/>
      <c r="C1269" s="75"/>
      <c r="D1269" s="75"/>
      <c r="E1269" s="75"/>
      <c r="F1269" s="75"/>
      <c r="G1269" s="75"/>
      <c r="H1269" s="75"/>
      <c r="I1269" s="75"/>
      <c r="J1269" s="75"/>
      <c r="K1269" s="75"/>
      <c r="L1269" s="75"/>
      <c r="M1269" s="75"/>
      <c r="N1269" s="146"/>
      <c r="O1269" s="76"/>
      <c r="P1269" s="8"/>
      <c r="Q1269" s="8"/>
      <c r="R1269" s="8"/>
      <c r="S1269" s="8"/>
      <c r="T1269" s="8"/>
      <c r="U1269" s="8"/>
      <c r="V1269" s="8"/>
      <c r="W1269" s="8"/>
      <c r="X1269" s="8"/>
      <c r="Y1269" s="8"/>
      <c r="Z1269" s="8"/>
    </row>
    <row r="1270" spans="1:26" s="9" customFormat="1" ht="15.75">
      <c r="A1270" s="37" t="s">
        <v>18</v>
      </c>
      <c r="B1270" s="18">
        <v>216</v>
      </c>
      <c r="C1270" s="18">
        <v>163</v>
      </c>
      <c r="D1270" s="18">
        <v>168</v>
      </c>
      <c r="E1270" s="18">
        <v>115</v>
      </c>
      <c r="F1270" s="18">
        <v>96</v>
      </c>
      <c r="G1270" s="18">
        <v>92</v>
      </c>
      <c r="H1270" s="18">
        <v>109</v>
      </c>
      <c r="I1270" s="18">
        <v>115</v>
      </c>
      <c r="J1270" s="81">
        <v>65</v>
      </c>
      <c r="K1270" s="81">
        <v>72</v>
      </c>
      <c r="L1270" s="18">
        <v>50</v>
      </c>
      <c r="M1270" s="18">
        <v>70</v>
      </c>
      <c r="N1270" s="133">
        <f>SUM(B1270:M1270)</f>
        <v>1331</v>
      </c>
      <c r="O1270" s="19">
        <f>IF(N1270=0,0,AVERAGE(B1270:M1270))</f>
        <v>110.91666666666667</v>
      </c>
      <c r="P1270" s="8"/>
      <c r="Q1270" s="8"/>
      <c r="R1270" s="8"/>
      <c r="S1270" s="8"/>
      <c r="T1270" s="8"/>
      <c r="U1270" s="8"/>
      <c r="V1270" s="8"/>
      <c r="W1270" s="8"/>
      <c r="X1270" s="8"/>
      <c r="Y1270" s="8"/>
      <c r="Z1270" s="8"/>
    </row>
    <row r="1271" spans="1:26" s="9" customFormat="1" ht="15.75">
      <c r="A1271" s="37" t="s">
        <v>19</v>
      </c>
      <c r="B1271" s="18">
        <v>138</v>
      </c>
      <c r="C1271" s="18">
        <v>142</v>
      </c>
      <c r="D1271" s="18">
        <v>129</v>
      </c>
      <c r="E1271" s="18">
        <v>95</v>
      </c>
      <c r="F1271" s="18">
        <v>68</v>
      </c>
      <c r="G1271" s="18">
        <v>175</v>
      </c>
      <c r="H1271" s="18">
        <v>235</v>
      </c>
      <c r="I1271" s="18">
        <v>196</v>
      </c>
      <c r="J1271" s="81">
        <v>186</v>
      </c>
      <c r="K1271" s="81">
        <v>146</v>
      </c>
      <c r="L1271" s="18">
        <v>169</v>
      </c>
      <c r="M1271" s="18">
        <v>154</v>
      </c>
      <c r="N1271" s="133">
        <f>SUM(B1271:M1271)</f>
        <v>1833</v>
      </c>
      <c r="O1271" s="19">
        <f>IF(N1271=0,0,AVERAGE(B1271:M1271))</f>
        <v>152.75</v>
      </c>
      <c r="P1271" s="8"/>
      <c r="Q1271" s="8"/>
      <c r="R1271" s="8"/>
      <c r="S1271" s="8"/>
      <c r="T1271" s="8"/>
      <c r="U1271" s="8"/>
      <c r="V1271" s="8"/>
      <c r="W1271" s="8"/>
      <c r="X1271" s="8"/>
      <c r="Y1271" s="8"/>
      <c r="Z1271" s="8"/>
    </row>
    <row r="1272" spans="1:26" s="9" customFormat="1" ht="15.75">
      <c r="A1272" s="37" t="s">
        <v>20</v>
      </c>
      <c r="B1272" s="18">
        <v>842</v>
      </c>
      <c r="C1272" s="18">
        <v>753</v>
      </c>
      <c r="D1272" s="18">
        <v>732</v>
      </c>
      <c r="E1272" s="18">
        <v>700</v>
      </c>
      <c r="F1272" s="18">
        <v>618</v>
      </c>
      <c r="G1272" s="18">
        <v>505</v>
      </c>
      <c r="H1272" s="18">
        <v>586</v>
      </c>
      <c r="I1272" s="18">
        <v>584</v>
      </c>
      <c r="J1272" s="81">
        <v>525</v>
      </c>
      <c r="K1272" s="81">
        <v>599</v>
      </c>
      <c r="L1272" s="18">
        <v>657</v>
      </c>
      <c r="M1272" s="18">
        <v>716</v>
      </c>
      <c r="N1272" s="133">
        <f>SUM(B1272:M1272)</f>
        <v>7817</v>
      </c>
      <c r="O1272" s="19">
        <f>IF(N1272=0,0,AVERAGE(B1272:M1272))</f>
        <v>651.41666666666663</v>
      </c>
      <c r="P1272" s="8"/>
      <c r="Q1272" s="8"/>
      <c r="R1272" s="8"/>
      <c r="S1272" s="8"/>
      <c r="T1272" s="8"/>
      <c r="U1272" s="8"/>
      <c r="V1272" s="8"/>
      <c r="W1272" s="8"/>
      <c r="X1272" s="8"/>
      <c r="Y1272" s="8"/>
      <c r="Z1272" s="8"/>
    </row>
    <row r="1273" spans="1:26" s="9" customFormat="1" ht="15.75">
      <c r="A1273" s="56" t="s">
        <v>21</v>
      </c>
      <c r="B1273" s="21">
        <f t="shared" ref="B1273:C1273" si="1750">SUM(B1270:B1272)</f>
        <v>1196</v>
      </c>
      <c r="C1273" s="21">
        <f t="shared" si="1750"/>
        <v>1058</v>
      </c>
      <c r="D1273" s="21">
        <f t="shared" ref="D1273:E1273" si="1751">SUM(D1270:D1272)</f>
        <v>1029</v>
      </c>
      <c r="E1273" s="21">
        <f t="shared" si="1751"/>
        <v>910</v>
      </c>
      <c r="F1273" s="21">
        <f t="shared" ref="F1273:G1273" si="1752">SUM(F1270:F1272)</f>
        <v>782</v>
      </c>
      <c r="G1273" s="21">
        <f t="shared" si="1752"/>
        <v>772</v>
      </c>
      <c r="H1273" s="21">
        <f t="shared" ref="H1273:I1273" si="1753">SUM(H1270:H1272)</f>
        <v>930</v>
      </c>
      <c r="I1273" s="21">
        <f t="shared" si="1753"/>
        <v>895</v>
      </c>
      <c r="J1273" s="21">
        <f t="shared" ref="J1273:K1273" si="1754">SUM(J1270:J1272)</f>
        <v>776</v>
      </c>
      <c r="K1273" s="21">
        <f t="shared" si="1754"/>
        <v>817</v>
      </c>
      <c r="L1273" s="21">
        <f t="shared" ref="L1273:M1273" si="1755">SUM(L1270:L1272)</f>
        <v>876</v>
      </c>
      <c r="M1273" s="21">
        <f t="shared" si="1755"/>
        <v>940</v>
      </c>
      <c r="N1273" s="128">
        <f>SUM(N1270:N1272)</f>
        <v>10981</v>
      </c>
      <c r="O1273" s="22">
        <f>SUM(O1270:O1272)</f>
        <v>915.08333333333326</v>
      </c>
      <c r="P1273" s="8"/>
      <c r="Q1273" s="8"/>
      <c r="R1273" s="8"/>
      <c r="S1273" s="8"/>
      <c r="T1273" s="8"/>
      <c r="U1273" s="8"/>
      <c r="V1273" s="8"/>
      <c r="W1273" s="8"/>
      <c r="X1273" s="8"/>
      <c r="Y1273" s="8"/>
      <c r="Z1273" s="8"/>
    </row>
    <row r="1274" spans="1:26" s="9" customFormat="1" ht="15.75">
      <c r="A1274" s="56" t="s">
        <v>112</v>
      </c>
      <c r="B1274" s="22">
        <f t="shared" ref="B1274:G1274" si="1756">IF(B1273=0,"",B1273/B$1676)</f>
        <v>38.58064516129032</v>
      </c>
      <c r="C1274" s="22">
        <f t="shared" si="1756"/>
        <v>37.785714285714285</v>
      </c>
      <c r="D1274" s="22">
        <f t="shared" si="1756"/>
        <v>33.193548387096776</v>
      </c>
      <c r="E1274" s="22">
        <f t="shared" si="1756"/>
        <v>30.333333333333332</v>
      </c>
      <c r="F1274" s="22">
        <f t="shared" si="1756"/>
        <v>25.225806451612904</v>
      </c>
      <c r="G1274" s="22">
        <f t="shared" si="1756"/>
        <v>25.733333333333334</v>
      </c>
      <c r="H1274" s="22">
        <f t="shared" ref="H1274:I1274" si="1757">IF(H1273=0,"",H1273/H$1676)</f>
        <v>30</v>
      </c>
      <c r="I1274" s="22">
        <f t="shared" si="1757"/>
        <v>28.870967741935484</v>
      </c>
      <c r="J1274" s="22">
        <f t="shared" ref="J1274:K1274" si="1758">IF(J1273=0,"",J1273/J$1676)</f>
        <v>25.866666666666667</v>
      </c>
      <c r="K1274" s="22">
        <f t="shared" si="1758"/>
        <v>26.35483870967742</v>
      </c>
      <c r="L1274" s="22">
        <f t="shared" ref="L1274:M1274" si="1759">IF(L1273=0,"",L1273/L$1676)</f>
        <v>29.2</v>
      </c>
      <c r="M1274" s="22">
        <f t="shared" si="1759"/>
        <v>30.322580645161292</v>
      </c>
      <c r="N1274" s="128">
        <f>SUM(B1274:M1274)</f>
        <v>361.46743471582181</v>
      </c>
      <c r="O1274" s="22">
        <f>IF(N1274=0,0,AVERAGE(B1274:M1274))</f>
        <v>30.122286226318483</v>
      </c>
      <c r="P1274" s="8"/>
      <c r="Q1274" s="8"/>
      <c r="R1274" s="8"/>
      <c r="S1274" s="8"/>
      <c r="T1274" s="8"/>
      <c r="U1274" s="8"/>
      <c r="V1274" s="8"/>
      <c r="W1274" s="8"/>
      <c r="X1274" s="8"/>
      <c r="Y1274" s="8"/>
      <c r="Z1274" s="8"/>
    </row>
    <row r="1275" spans="1:26" s="9" customFormat="1" ht="15.75">
      <c r="A1275" s="123"/>
      <c r="B1275" s="124"/>
      <c r="C1275" s="124"/>
      <c r="D1275" s="124"/>
      <c r="E1275" s="124"/>
      <c r="F1275" s="124"/>
      <c r="G1275" s="124"/>
      <c r="H1275" s="124"/>
      <c r="I1275" s="124"/>
      <c r="J1275" s="124"/>
      <c r="K1275" s="124"/>
      <c r="L1275" s="124"/>
      <c r="M1275" s="124"/>
      <c r="N1275" s="155"/>
      <c r="O1275" s="125"/>
      <c r="P1275" s="8"/>
      <c r="Q1275" s="8"/>
      <c r="R1275" s="8"/>
      <c r="S1275" s="8"/>
      <c r="T1275" s="8"/>
      <c r="U1275" s="8"/>
      <c r="V1275" s="8"/>
      <c r="W1275" s="8"/>
      <c r="X1275" s="8"/>
      <c r="Y1275" s="8"/>
      <c r="Z1275" s="8"/>
    </row>
    <row r="1276" spans="1:26" s="9" customFormat="1" ht="15.75">
      <c r="A1276" s="85" t="s">
        <v>167</v>
      </c>
      <c r="B1276" s="86">
        <f t="shared" ref="B1276:G1276" si="1760">B1273</f>
        <v>1196</v>
      </c>
      <c r="C1276" s="86">
        <f t="shared" si="1760"/>
        <v>1058</v>
      </c>
      <c r="D1276" s="86">
        <f t="shared" si="1760"/>
        <v>1029</v>
      </c>
      <c r="E1276" s="86">
        <f t="shared" si="1760"/>
        <v>910</v>
      </c>
      <c r="F1276" s="86">
        <f t="shared" si="1760"/>
        <v>782</v>
      </c>
      <c r="G1276" s="86">
        <f t="shared" si="1760"/>
        <v>772</v>
      </c>
      <c r="H1276" s="86">
        <f t="shared" ref="H1276:I1276" si="1761">H1273</f>
        <v>930</v>
      </c>
      <c r="I1276" s="86">
        <f t="shared" si="1761"/>
        <v>895</v>
      </c>
      <c r="J1276" s="86">
        <f t="shared" ref="J1276:K1276" si="1762">J1273</f>
        <v>776</v>
      </c>
      <c r="K1276" s="86">
        <f t="shared" si="1762"/>
        <v>817</v>
      </c>
      <c r="L1276" s="86">
        <f t="shared" ref="L1276:M1276" si="1763">L1273</f>
        <v>876</v>
      </c>
      <c r="M1276" s="86">
        <f t="shared" si="1763"/>
        <v>940</v>
      </c>
      <c r="N1276" s="133">
        <f>N1273</f>
        <v>10981</v>
      </c>
      <c r="O1276" s="19">
        <f>O1273</f>
        <v>915.08333333333326</v>
      </c>
      <c r="P1276" s="8"/>
      <c r="Q1276" s="8"/>
      <c r="R1276" s="8"/>
      <c r="S1276" s="8"/>
      <c r="T1276" s="8"/>
      <c r="U1276" s="8"/>
      <c r="V1276" s="8"/>
      <c r="W1276" s="8"/>
      <c r="X1276" s="8"/>
      <c r="Y1276" s="8"/>
      <c r="Z1276" s="8"/>
    </row>
    <row r="1277" spans="1:26" s="9" customFormat="1" ht="15.75">
      <c r="A1277" s="342" t="s">
        <v>168</v>
      </c>
      <c r="B1277" s="333">
        <f t="shared" ref="B1277:G1277" si="1764">SUM(B1276:B1276)</f>
        <v>1196</v>
      </c>
      <c r="C1277" s="333">
        <f t="shared" si="1764"/>
        <v>1058</v>
      </c>
      <c r="D1277" s="333">
        <f t="shared" si="1764"/>
        <v>1029</v>
      </c>
      <c r="E1277" s="333">
        <f t="shared" si="1764"/>
        <v>910</v>
      </c>
      <c r="F1277" s="333">
        <f t="shared" si="1764"/>
        <v>782</v>
      </c>
      <c r="G1277" s="333">
        <f t="shared" si="1764"/>
        <v>772</v>
      </c>
      <c r="H1277" s="333">
        <f t="shared" ref="H1277:I1277" si="1765">SUM(H1276:H1276)</f>
        <v>930</v>
      </c>
      <c r="I1277" s="333">
        <f t="shared" si="1765"/>
        <v>895</v>
      </c>
      <c r="J1277" s="333">
        <f t="shared" ref="J1277:K1277" si="1766">SUM(J1276:J1276)</f>
        <v>776</v>
      </c>
      <c r="K1277" s="333">
        <f t="shared" si="1766"/>
        <v>817</v>
      </c>
      <c r="L1277" s="333">
        <f t="shared" ref="L1277:M1277" si="1767">SUM(L1276:L1276)</f>
        <v>876</v>
      </c>
      <c r="M1277" s="333">
        <f t="shared" si="1767"/>
        <v>940</v>
      </c>
      <c r="N1277" s="334">
        <f>SUM(N1276:N1276)</f>
        <v>10981</v>
      </c>
      <c r="O1277" s="335">
        <f>SUM(O1276:O1276)</f>
        <v>915.08333333333326</v>
      </c>
      <c r="P1277" s="8"/>
      <c r="Q1277" s="8"/>
      <c r="R1277" s="8"/>
      <c r="S1277" s="8"/>
      <c r="T1277" s="8"/>
      <c r="U1277" s="8"/>
      <c r="V1277" s="8"/>
      <c r="W1277" s="8"/>
      <c r="X1277" s="8"/>
      <c r="Y1277" s="8"/>
      <c r="Z1277" s="8"/>
    </row>
    <row r="1278" spans="1:26" s="9" customFormat="1">
      <c r="P1278" s="8"/>
      <c r="Q1278" s="8"/>
      <c r="R1278" s="8"/>
      <c r="S1278" s="8"/>
      <c r="T1278" s="8"/>
      <c r="U1278" s="8"/>
      <c r="V1278" s="8"/>
      <c r="W1278" s="8"/>
      <c r="X1278" s="8"/>
      <c r="Y1278" s="8"/>
      <c r="Z1278" s="8"/>
    </row>
    <row r="1279" spans="1:26" s="9" customFormat="1" ht="15.75">
      <c r="A1279" s="361" t="s">
        <v>787</v>
      </c>
      <c r="B1279" s="353"/>
      <c r="C1279" s="353"/>
      <c r="D1279" s="353"/>
      <c r="E1279" s="353"/>
      <c r="F1279" s="353"/>
      <c r="G1279" s="353"/>
      <c r="H1279" s="353"/>
      <c r="I1279" s="353"/>
      <c r="J1279" s="353"/>
      <c r="K1279" s="353"/>
      <c r="L1279" s="353"/>
      <c r="M1279" s="353"/>
      <c r="N1279" s="354"/>
      <c r="O1279" s="355"/>
      <c r="P1279" s="10"/>
      <c r="Q1279" s="10"/>
      <c r="R1279" s="10"/>
      <c r="S1279" s="10"/>
      <c r="T1279" s="10"/>
      <c r="U1279" s="10"/>
      <c r="V1279" s="10"/>
      <c r="W1279" s="10"/>
      <c r="X1279" s="10"/>
      <c r="Y1279" s="10"/>
      <c r="Z1279" s="10"/>
    </row>
    <row r="1280" spans="1:26" s="9" customFormat="1" ht="15.75">
      <c r="A1280" s="356" t="s">
        <v>788</v>
      </c>
      <c r="B1280" s="366"/>
      <c r="C1280" s="366"/>
      <c r="D1280" s="366"/>
      <c r="E1280" s="366"/>
      <c r="F1280" s="366"/>
      <c r="G1280" s="366"/>
      <c r="H1280" s="366"/>
      <c r="I1280" s="366"/>
      <c r="J1280" s="366"/>
      <c r="K1280" s="366"/>
      <c r="L1280" s="366"/>
      <c r="M1280" s="366"/>
      <c r="N1280" s="367"/>
      <c r="O1280" s="368"/>
      <c r="P1280" s="10"/>
      <c r="Q1280" s="10"/>
      <c r="R1280" s="10"/>
      <c r="S1280" s="10"/>
      <c r="T1280" s="10"/>
      <c r="U1280" s="10"/>
      <c r="V1280" s="10"/>
      <c r="W1280" s="10"/>
      <c r="X1280" s="10"/>
      <c r="Y1280" s="10"/>
      <c r="Z1280" s="10"/>
    </row>
    <row r="1281" spans="1:26" s="9" customFormat="1" ht="15.75">
      <c r="A1281" s="338" t="s">
        <v>619</v>
      </c>
      <c r="B1281" s="18">
        <v>16</v>
      </c>
      <c r="C1281" s="18">
        <v>14</v>
      </c>
      <c r="D1281" s="18">
        <v>11</v>
      </c>
      <c r="E1281" s="18">
        <v>10</v>
      </c>
      <c r="F1281" s="18">
        <v>8</v>
      </c>
      <c r="G1281" s="18">
        <v>100</v>
      </c>
      <c r="H1281" s="18">
        <v>124</v>
      </c>
      <c r="I1281" s="18">
        <v>99</v>
      </c>
      <c r="J1281" s="81">
        <v>100</v>
      </c>
      <c r="K1281" s="81">
        <v>60</v>
      </c>
      <c r="L1281" s="18">
        <v>94</v>
      </c>
      <c r="M1281" s="18">
        <v>24</v>
      </c>
      <c r="N1281" s="133">
        <f>SUM(B1281:M1281)</f>
        <v>660</v>
      </c>
      <c r="O1281" s="19">
        <f>IF(N1281=0,0,AVERAGE(B1281:M1281))</f>
        <v>55</v>
      </c>
      <c r="P1281" s="10"/>
      <c r="Q1281" s="10"/>
      <c r="R1281" s="10"/>
      <c r="S1281" s="10"/>
      <c r="T1281" s="10"/>
      <c r="U1281" s="10"/>
      <c r="V1281" s="10"/>
      <c r="W1281" s="10"/>
      <c r="X1281" s="10"/>
      <c r="Y1281" s="10"/>
      <c r="Z1281" s="10"/>
    </row>
    <row r="1282" spans="1:26" s="9" customFormat="1" ht="15.75">
      <c r="A1282" s="338" t="s">
        <v>620</v>
      </c>
      <c r="B1282" s="18">
        <v>69</v>
      </c>
      <c r="C1282" s="18">
        <v>74</v>
      </c>
      <c r="D1282" s="18">
        <v>69</v>
      </c>
      <c r="E1282" s="18">
        <v>55</v>
      </c>
      <c r="F1282" s="18">
        <v>49</v>
      </c>
      <c r="G1282" s="18">
        <v>100</v>
      </c>
      <c r="H1282" s="18">
        <v>122</v>
      </c>
      <c r="I1282" s="18">
        <v>105</v>
      </c>
      <c r="J1282" s="81">
        <v>98</v>
      </c>
      <c r="K1282" s="81">
        <v>62</v>
      </c>
      <c r="L1282" s="18">
        <v>97</v>
      </c>
      <c r="M1282" s="18">
        <v>102</v>
      </c>
      <c r="N1282" s="133">
        <f>SUM(B1282:M1282)</f>
        <v>1002</v>
      </c>
      <c r="O1282" s="19">
        <f>IF(N1282=0,0,AVERAGE(B1282:M1282))</f>
        <v>83.5</v>
      </c>
      <c r="P1282" s="10"/>
      <c r="Q1282" s="10"/>
      <c r="R1282" s="10"/>
      <c r="S1282" s="10"/>
      <c r="T1282" s="10"/>
      <c r="U1282" s="10"/>
      <c r="V1282" s="10"/>
      <c r="W1282" s="10"/>
      <c r="X1282" s="10"/>
      <c r="Y1282" s="10"/>
      <c r="Z1282" s="10"/>
    </row>
    <row r="1283" spans="1:26" s="9" customFormat="1" ht="15.75">
      <c r="A1283" s="338" t="s">
        <v>621</v>
      </c>
      <c r="B1283" s="18">
        <v>0</v>
      </c>
      <c r="C1283" s="18">
        <v>0</v>
      </c>
      <c r="D1283" s="18">
        <v>0</v>
      </c>
      <c r="E1283" s="18">
        <v>0</v>
      </c>
      <c r="F1283" s="18">
        <v>0</v>
      </c>
      <c r="G1283" s="18">
        <v>2</v>
      </c>
      <c r="H1283" s="18">
        <v>6</v>
      </c>
      <c r="I1283" s="18">
        <v>1</v>
      </c>
      <c r="J1283" s="81">
        <v>0</v>
      </c>
      <c r="K1283" s="81">
        <v>0</v>
      </c>
      <c r="L1283" s="18">
        <v>1</v>
      </c>
      <c r="M1283" s="18">
        <v>1</v>
      </c>
      <c r="N1283" s="133">
        <f>SUM(B1283:M1283)</f>
        <v>11</v>
      </c>
      <c r="O1283" s="19">
        <f>IF(N1283=0,0,AVERAGE(B1283:M1283))</f>
        <v>0.91666666666666663</v>
      </c>
      <c r="P1283" s="10"/>
      <c r="Q1283" s="10"/>
      <c r="R1283" s="10"/>
      <c r="S1283" s="10"/>
      <c r="T1283" s="10"/>
      <c r="U1283" s="10"/>
      <c r="V1283" s="10"/>
      <c r="W1283" s="10"/>
      <c r="X1283" s="10"/>
      <c r="Y1283" s="10"/>
      <c r="Z1283" s="10"/>
    </row>
    <row r="1284" spans="1:26" s="9" customFormat="1" ht="15.75">
      <c r="A1284" s="338" t="s">
        <v>622</v>
      </c>
      <c r="B1284" s="18">
        <v>29</v>
      </c>
      <c r="C1284" s="18">
        <v>31</v>
      </c>
      <c r="D1284" s="18">
        <v>29</v>
      </c>
      <c r="E1284" s="18">
        <v>21</v>
      </c>
      <c r="F1284" s="18">
        <v>18</v>
      </c>
      <c r="G1284" s="18">
        <v>1</v>
      </c>
      <c r="H1284" s="18">
        <v>1</v>
      </c>
      <c r="I1284" s="18">
        <v>0</v>
      </c>
      <c r="J1284" s="81">
        <v>0</v>
      </c>
      <c r="K1284" s="81">
        <v>1</v>
      </c>
      <c r="L1284" s="18">
        <v>0</v>
      </c>
      <c r="M1284" s="18">
        <v>0</v>
      </c>
      <c r="N1284" s="133">
        <f t="shared" ref="N1284:N1285" si="1768">SUM(B1284:M1284)</f>
        <v>131</v>
      </c>
      <c r="O1284" s="19">
        <f t="shared" ref="O1284:O1285" si="1769">IF(N1284=0,0,AVERAGE(B1284:M1284))</f>
        <v>10.916666666666666</v>
      </c>
      <c r="P1284" s="8"/>
      <c r="Q1284" s="8"/>
      <c r="R1284" s="8"/>
      <c r="S1284" s="8"/>
      <c r="T1284" s="8"/>
      <c r="U1284" s="8"/>
      <c r="V1284" s="8"/>
      <c r="W1284" s="8"/>
      <c r="X1284" s="8"/>
      <c r="Y1284" s="8"/>
      <c r="Z1284" s="8"/>
    </row>
    <row r="1285" spans="1:26" s="9" customFormat="1" ht="15.75">
      <c r="A1285" s="339" t="s">
        <v>22</v>
      </c>
      <c r="B1285" s="18">
        <v>12</v>
      </c>
      <c r="C1285" s="18">
        <v>19</v>
      </c>
      <c r="D1285" s="18">
        <v>22</v>
      </c>
      <c r="E1285" s="18">
        <v>16</v>
      </c>
      <c r="F1285" s="18">
        <v>13</v>
      </c>
      <c r="G1285" s="18">
        <v>79</v>
      </c>
      <c r="H1285" s="18">
        <v>94</v>
      </c>
      <c r="I1285" s="18">
        <v>105</v>
      </c>
      <c r="J1285" s="81">
        <v>195</v>
      </c>
      <c r="K1285" s="81">
        <v>62</v>
      </c>
      <c r="L1285" s="18">
        <v>97</v>
      </c>
      <c r="M1285" s="18">
        <v>45</v>
      </c>
      <c r="N1285" s="133">
        <f t="shared" si="1768"/>
        <v>759</v>
      </c>
      <c r="O1285" s="19">
        <f t="shared" si="1769"/>
        <v>63.25</v>
      </c>
      <c r="P1285" s="10"/>
      <c r="Q1285" s="10"/>
      <c r="R1285" s="10"/>
      <c r="S1285" s="10"/>
      <c r="T1285" s="10"/>
      <c r="U1285" s="10"/>
      <c r="V1285" s="10"/>
      <c r="W1285" s="10"/>
      <c r="X1285" s="10"/>
      <c r="Y1285" s="10"/>
      <c r="Z1285" s="10"/>
    </row>
    <row r="1286" spans="1:26" s="9" customFormat="1" ht="15.75">
      <c r="A1286" s="56" t="s">
        <v>21</v>
      </c>
      <c r="B1286" s="21">
        <f t="shared" ref="B1286:C1286" si="1770">SUM(B1281:B1285)</f>
        <v>126</v>
      </c>
      <c r="C1286" s="21">
        <f t="shared" si="1770"/>
        <v>138</v>
      </c>
      <c r="D1286" s="21">
        <f t="shared" ref="D1286:E1286" si="1771">SUM(D1281:D1285)</f>
        <v>131</v>
      </c>
      <c r="E1286" s="21">
        <f t="shared" si="1771"/>
        <v>102</v>
      </c>
      <c r="F1286" s="21">
        <f t="shared" ref="F1286:G1286" si="1772">SUM(F1281:F1285)</f>
        <v>88</v>
      </c>
      <c r="G1286" s="21">
        <f t="shared" si="1772"/>
        <v>282</v>
      </c>
      <c r="H1286" s="21">
        <f t="shared" ref="H1286:I1286" si="1773">SUM(H1281:H1285)</f>
        <v>347</v>
      </c>
      <c r="I1286" s="21">
        <f t="shared" si="1773"/>
        <v>310</v>
      </c>
      <c r="J1286" s="21">
        <f t="shared" ref="J1286:K1286" si="1774">SUM(J1281:J1285)</f>
        <v>393</v>
      </c>
      <c r="K1286" s="21">
        <f t="shared" si="1774"/>
        <v>185</v>
      </c>
      <c r="L1286" s="21">
        <f t="shared" ref="L1286:M1286" si="1775">SUM(L1281:L1285)</f>
        <v>289</v>
      </c>
      <c r="M1286" s="21">
        <f t="shared" si="1775"/>
        <v>172</v>
      </c>
      <c r="N1286" s="128">
        <f>SUM(N1281:N1285)</f>
        <v>2563</v>
      </c>
      <c r="O1286" s="22">
        <f>SUM(O1281:O1285)</f>
        <v>213.58333333333331</v>
      </c>
      <c r="P1286" s="10"/>
      <c r="Q1286" s="10"/>
      <c r="R1286" s="10"/>
      <c r="S1286" s="10"/>
      <c r="T1286" s="10"/>
      <c r="U1286" s="10"/>
      <c r="V1286" s="10"/>
      <c r="W1286" s="10"/>
      <c r="X1286" s="10"/>
      <c r="Y1286" s="10"/>
      <c r="Z1286" s="10"/>
    </row>
    <row r="1287" spans="1:26" s="9" customFormat="1" ht="15.75">
      <c r="A1287" s="56" t="s">
        <v>112</v>
      </c>
      <c r="B1287" s="22">
        <f t="shared" ref="B1287:G1287" si="1776">IF(B1286=0,"",B1286/B$1676)</f>
        <v>4.064516129032258</v>
      </c>
      <c r="C1287" s="22">
        <f t="shared" si="1776"/>
        <v>4.9285714285714288</v>
      </c>
      <c r="D1287" s="22">
        <f t="shared" si="1776"/>
        <v>4.225806451612903</v>
      </c>
      <c r="E1287" s="22">
        <f t="shared" si="1776"/>
        <v>3.4</v>
      </c>
      <c r="F1287" s="22">
        <f t="shared" si="1776"/>
        <v>2.838709677419355</v>
      </c>
      <c r="G1287" s="22">
        <f t="shared" si="1776"/>
        <v>9.4</v>
      </c>
      <c r="H1287" s="22">
        <f t="shared" ref="H1287:I1287" si="1777">IF(H1286=0,"",H1286/H$1676)</f>
        <v>11.193548387096774</v>
      </c>
      <c r="I1287" s="22">
        <f t="shared" si="1777"/>
        <v>10</v>
      </c>
      <c r="J1287" s="22">
        <f t="shared" ref="J1287:K1287" si="1778">IF(J1286=0,"",J1286/J$1676)</f>
        <v>13.1</v>
      </c>
      <c r="K1287" s="22">
        <f t="shared" si="1778"/>
        <v>5.967741935483871</v>
      </c>
      <c r="L1287" s="22">
        <f t="shared" ref="L1287:M1287" si="1779">IF(L1286=0,"",L1286/L$1676)</f>
        <v>9.6333333333333329</v>
      </c>
      <c r="M1287" s="22">
        <f t="shared" si="1779"/>
        <v>5.5483870967741939</v>
      </c>
      <c r="N1287" s="128">
        <f>SUM(B1287:M1287)</f>
        <v>84.300614439324121</v>
      </c>
      <c r="O1287" s="22">
        <f>IF(N1287=0,0,AVERAGE(B1287:M1287))</f>
        <v>7.0250512032770098</v>
      </c>
      <c r="P1287" s="8"/>
      <c r="Q1287" s="8"/>
      <c r="R1287" s="8"/>
      <c r="S1287" s="8"/>
      <c r="T1287" s="8"/>
      <c r="U1287" s="8"/>
      <c r="V1287" s="8"/>
      <c r="W1287" s="8"/>
      <c r="X1287" s="8"/>
      <c r="Y1287" s="8"/>
      <c r="Z1287" s="8"/>
    </row>
    <row r="1288" spans="1:26" s="9" customFormat="1">
      <c r="P1288" s="8"/>
      <c r="Q1288" s="8"/>
      <c r="R1288" s="8"/>
      <c r="S1288" s="8"/>
      <c r="T1288" s="8"/>
      <c r="U1288" s="8"/>
      <c r="V1288" s="8"/>
      <c r="W1288" s="8"/>
      <c r="X1288" s="8"/>
      <c r="Y1288" s="8"/>
      <c r="Z1288" s="8"/>
    </row>
    <row r="1289" spans="1:26" s="9" customFormat="1" ht="15.75">
      <c r="A1289" s="60" t="s">
        <v>789</v>
      </c>
      <c r="B1289" s="75"/>
      <c r="C1289" s="75"/>
      <c r="D1289" s="75"/>
      <c r="E1289" s="75"/>
      <c r="F1289" s="75"/>
      <c r="G1289" s="75"/>
      <c r="H1289" s="75"/>
      <c r="I1289" s="75"/>
      <c r="J1289" s="75"/>
      <c r="K1289" s="75"/>
      <c r="L1289" s="75"/>
      <c r="M1289" s="75"/>
      <c r="N1289" s="146"/>
      <c r="O1289" s="76"/>
      <c r="P1289" s="8"/>
      <c r="Q1289" s="8"/>
      <c r="R1289" s="8"/>
      <c r="S1289" s="8"/>
      <c r="T1289" s="8"/>
      <c r="U1289" s="8"/>
      <c r="V1289" s="8"/>
      <c r="W1289" s="8"/>
      <c r="X1289" s="8"/>
      <c r="Y1289" s="8"/>
      <c r="Z1289" s="8"/>
    </row>
    <row r="1290" spans="1:26" s="9" customFormat="1" ht="15.75">
      <c r="A1290" s="37" t="s">
        <v>18</v>
      </c>
      <c r="B1290" s="18">
        <v>22</v>
      </c>
      <c r="C1290" s="18">
        <v>19</v>
      </c>
      <c r="D1290" s="18">
        <v>16</v>
      </c>
      <c r="E1290" s="18">
        <v>9</v>
      </c>
      <c r="F1290" s="18">
        <v>6</v>
      </c>
      <c r="G1290" s="18">
        <v>0</v>
      </c>
      <c r="H1290" s="18">
        <v>11</v>
      </c>
      <c r="I1290" s="18">
        <v>0</v>
      </c>
      <c r="J1290" s="81">
        <v>0</v>
      </c>
      <c r="K1290" s="81">
        <v>0</v>
      </c>
      <c r="L1290" s="81">
        <v>0</v>
      </c>
      <c r="M1290" s="18">
        <v>0</v>
      </c>
      <c r="N1290" s="133">
        <f>SUM(B1290:M1290)</f>
        <v>83</v>
      </c>
      <c r="O1290" s="19">
        <f>IF(N1290=0,0,AVERAGE(B1290:M1290))</f>
        <v>6.916666666666667</v>
      </c>
      <c r="P1290" s="8"/>
      <c r="Q1290" s="8"/>
      <c r="R1290" s="8"/>
      <c r="S1290" s="8"/>
      <c r="T1290" s="8"/>
      <c r="U1290" s="8"/>
      <c r="V1290" s="8"/>
      <c r="W1290" s="8"/>
      <c r="X1290" s="8"/>
      <c r="Y1290" s="8"/>
      <c r="Z1290" s="8"/>
    </row>
    <row r="1291" spans="1:26" s="9" customFormat="1" ht="15.75">
      <c r="A1291" s="37" t="s">
        <v>19</v>
      </c>
      <c r="B1291" s="18">
        <v>9</v>
      </c>
      <c r="C1291" s="18">
        <v>4</v>
      </c>
      <c r="D1291" s="18">
        <v>3</v>
      </c>
      <c r="E1291" s="18">
        <v>3</v>
      </c>
      <c r="F1291" s="18">
        <v>4</v>
      </c>
      <c r="G1291" s="18">
        <v>92</v>
      </c>
      <c r="H1291" s="18">
        <v>76</v>
      </c>
      <c r="I1291" s="18">
        <v>70</v>
      </c>
      <c r="J1291" s="81">
        <v>81</v>
      </c>
      <c r="K1291" s="81">
        <v>21</v>
      </c>
      <c r="L1291" s="81">
        <v>65</v>
      </c>
      <c r="M1291" s="18">
        <v>0</v>
      </c>
      <c r="N1291" s="133">
        <f>SUM(B1291:M1291)</f>
        <v>428</v>
      </c>
      <c r="O1291" s="19">
        <f>IF(N1291=0,0,AVERAGE(B1291:M1291))</f>
        <v>35.666666666666664</v>
      </c>
      <c r="P1291" s="8"/>
      <c r="Q1291" s="8"/>
      <c r="R1291" s="8"/>
      <c r="S1291" s="8"/>
      <c r="T1291" s="8"/>
      <c r="U1291" s="8"/>
      <c r="V1291" s="8"/>
      <c r="W1291" s="8"/>
      <c r="X1291" s="8"/>
      <c r="Y1291" s="8"/>
      <c r="Z1291" s="8"/>
    </row>
    <row r="1292" spans="1:26" s="9" customFormat="1" ht="15.75">
      <c r="A1292" s="37" t="s">
        <v>20</v>
      </c>
      <c r="B1292" s="18">
        <v>95</v>
      </c>
      <c r="C1292" s="18">
        <v>115</v>
      </c>
      <c r="D1292" s="18">
        <v>112</v>
      </c>
      <c r="E1292" s="18">
        <v>90</v>
      </c>
      <c r="F1292" s="18">
        <v>78</v>
      </c>
      <c r="G1292" s="18">
        <v>0</v>
      </c>
      <c r="H1292" s="18">
        <v>37</v>
      </c>
      <c r="I1292" s="18">
        <v>38</v>
      </c>
      <c r="J1292" s="81">
        <v>19</v>
      </c>
      <c r="K1292" s="81">
        <v>39</v>
      </c>
      <c r="L1292" s="81">
        <v>35</v>
      </c>
      <c r="M1292" s="18">
        <v>49</v>
      </c>
      <c r="N1292" s="133">
        <f>SUM(B1292:M1292)</f>
        <v>707</v>
      </c>
      <c r="O1292" s="19">
        <f>IF(N1292=0,0,AVERAGE(B1292:M1292))</f>
        <v>58.916666666666664</v>
      </c>
      <c r="P1292" s="10"/>
      <c r="Q1292" s="10"/>
      <c r="R1292" s="10"/>
      <c r="S1292" s="10"/>
      <c r="T1292" s="10"/>
      <c r="U1292" s="10"/>
      <c r="V1292" s="10"/>
      <c r="W1292" s="10"/>
      <c r="X1292" s="10"/>
      <c r="Y1292" s="10"/>
      <c r="Z1292" s="10"/>
    </row>
    <row r="1293" spans="1:26" s="9" customFormat="1" ht="15.75">
      <c r="A1293" s="56" t="s">
        <v>21</v>
      </c>
      <c r="B1293" s="21">
        <f t="shared" ref="B1293:C1293" si="1780">SUM(B1290:B1292)</f>
        <v>126</v>
      </c>
      <c r="C1293" s="21">
        <f t="shared" si="1780"/>
        <v>138</v>
      </c>
      <c r="D1293" s="21">
        <f t="shared" ref="D1293:E1293" si="1781">SUM(D1290:D1292)</f>
        <v>131</v>
      </c>
      <c r="E1293" s="21">
        <f t="shared" si="1781"/>
        <v>102</v>
      </c>
      <c r="F1293" s="21">
        <f t="shared" ref="F1293:G1293" si="1782">SUM(F1290:F1292)</f>
        <v>88</v>
      </c>
      <c r="G1293" s="21">
        <f t="shared" si="1782"/>
        <v>92</v>
      </c>
      <c r="H1293" s="21">
        <f t="shared" ref="H1293:I1293" si="1783">SUM(H1290:H1292)</f>
        <v>124</v>
      </c>
      <c r="I1293" s="21">
        <f t="shared" si="1783"/>
        <v>108</v>
      </c>
      <c r="J1293" s="21">
        <f t="shared" ref="J1293:K1293" si="1784">SUM(J1290:J1292)</f>
        <v>100</v>
      </c>
      <c r="K1293" s="21">
        <f t="shared" si="1784"/>
        <v>60</v>
      </c>
      <c r="L1293" s="21">
        <f t="shared" ref="L1293:M1293" si="1785">SUM(L1290:L1292)</f>
        <v>100</v>
      </c>
      <c r="M1293" s="21">
        <f t="shared" si="1785"/>
        <v>49</v>
      </c>
      <c r="N1293" s="128">
        <f>SUM(N1290:N1292)</f>
        <v>1218</v>
      </c>
      <c r="O1293" s="22">
        <f>SUM(O1290:O1292)</f>
        <v>101.5</v>
      </c>
      <c r="P1293" s="8"/>
      <c r="Q1293" s="8"/>
      <c r="R1293" s="8"/>
      <c r="S1293" s="8"/>
      <c r="T1293" s="8"/>
      <c r="U1293" s="8"/>
      <c r="V1293" s="8"/>
      <c r="W1293" s="8"/>
      <c r="X1293" s="8"/>
      <c r="Y1293" s="8"/>
      <c r="Z1293" s="8"/>
    </row>
    <row r="1294" spans="1:26" s="9" customFormat="1" ht="15.75">
      <c r="A1294" s="56" t="s">
        <v>112</v>
      </c>
      <c r="B1294" s="22">
        <f t="shared" ref="B1294:G1294" si="1786">IF(B1293=0,"",B1293/B$1676)</f>
        <v>4.064516129032258</v>
      </c>
      <c r="C1294" s="22">
        <f t="shared" si="1786"/>
        <v>4.9285714285714288</v>
      </c>
      <c r="D1294" s="22">
        <f t="shared" si="1786"/>
        <v>4.225806451612903</v>
      </c>
      <c r="E1294" s="22">
        <f t="shared" si="1786"/>
        <v>3.4</v>
      </c>
      <c r="F1294" s="22">
        <f t="shared" si="1786"/>
        <v>2.838709677419355</v>
      </c>
      <c r="G1294" s="22">
        <f t="shared" si="1786"/>
        <v>3.0666666666666669</v>
      </c>
      <c r="H1294" s="22">
        <f t="shared" ref="H1294:I1294" si="1787">IF(H1293=0,"",H1293/H$1676)</f>
        <v>4</v>
      </c>
      <c r="I1294" s="22">
        <f t="shared" si="1787"/>
        <v>3.4838709677419355</v>
      </c>
      <c r="J1294" s="22">
        <f t="shared" ref="J1294:K1294" si="1788">IF(J1293=0,"",J1293/J$1676)</f>
        <v>3.3333333333333335</v>
      </c>
      <c r="K1294" s="22">
        <f t="shared" si="1788"/>
        <v>1.935483870967742</v>
      </c>
      <c r="L1294" s="22">
        <f t="shared" ref="L1294:M1294" si="1789">IF(L1293=0,"",L1293/L$1676)</f>
        <v>3.3333333333333335</v>
      </c>
      <c r="M1294" s="22">
        <f t="shared" si="1789"/>
        <v>1.5806451612903225</v>
      </c>
      <c r="N1294" s="128">
        <f>SUM(B1294:M1294)</f>
        <v>40.190937019969283</v>
      </c>
      <c r="O1294" s="22">
        <f>IF(N1294=0,0,AVERAGE(B1294:M1294))</f>
        <v>3.3492447516641071</v>
      </c>
      <c r="P1294" s="10"/>
      <c r="Q1294" s="10"/>
      <c r="R1294" s="10"/>
      <c r="S1294" s="10"/>
      <c r="T1294" s="10"/>
      <c r="U1294" s="10"/>
      <c r="V1294" s="10"/>
      <c r="W1294" s="10"/>
      <c r="X1294" s="10"/>
      <c r="Y1294" s="10"/>
      <c r="Z1294" s="10"/>
    </row>
    <row r="1295" spans="1:26" s="9" customFormat="1">
      <c r="A1295" s="23"/>
      <c r="B1295" s="24"/>
      <c r="C1295" s="24"/>
      <c r="D1295" s="24"/>
      <c r="E1295" s="24"/>
      <c r="F1295" s="24"/>
      <c r="G1295" s="24"/>
      <c r="H1295" s="25"/>
      <c r="I1295" s="25"/>
      <c r="J1295" s="25"/>
      <c r="K1295" s="25"/>
      <c r="L1295" s="25"/>
      <c r="M1295" s="25"/>
      <c r="N1295" s="134"/>
      <c r="O1295" s="13"/>
      <c r="P1295" s="105"/>
      <c r="Q1295" s="105"/>
      <c r="R1295" s="105"/>
      <c r="S1295" s="105"/>
      <c r="T1295" s="105"/>
      <c r="U1295" s="105"/>
      <c r="V1295" s="105"/>
      <c r="W1295" s="105"/>
      <c r="X1295" s="105"/>
      <c r="Y1295" s="105"/>
      <c r="Z1295" s="105"/>
    </row>
    <row r="1296" spans="1:26" s="9" customFormat="1" ht="15.75">
      <c r="A1296" s="85" t="s">
        <v>167</v>
      </c>
      <c r="B1296" s="86">
        <f t="shared" ref="B1296:G1296" si="1790">B1273+B1293</f>
        <v>1322</v>
      </c>
      <c r="C1296" s="86">
        <f t="shared" si="1790"/>
        <v>1196</v>
      </c>
      <c r="D1296" s="86">
        <f t="shared" si="1790"/>
        <v>1160</v>
      </c>
      <c r="E1296" s="86">
        <f t="shared" si="1790"/>
        <v>1012</v>
      </c>
      <c r="F1296" s="86">
        <f t="shared" si="1790"/>
        <v>870</v>
      </c>
      <c r="G1296" s="86">
        <f t="shared" si="1790"/>
        <v>864</v>
      </c>
      <c r="H1296" s="86">
        <f t="shared" ref="H1296:I1296" si="1791">H1273+H1293</f>
        <v>1054</v>
      </c>
      <c r="I1296" s="86">
        <f t="shared" si="1791"/>
        <v>1003</v>
      </c>
      <c r="J1296" s="86">
        <f t="shared" ref="J1296:K1296" si="1792">J1273+J1293</f>
        <v>876</v>
      </c>
      <c r="K1296" s="86">
        <f t="shared" si="1792"/>
        <v>877</v>
      </c>
      <c r="L1296" s="86">
        <f t="shared" ref="L1296:M1296" si="1793">L1273+L1293</f>
        <v>976</v>
      </c>
      <c r="M1296" s="86">
        <f t="shared" si="1793"/>
        <v>989</v>
      </c>
      <c r="N1296" s="133">
        <f>N1273+N1293</f>
        <v>12199</v>
      </c>
      <c r="O1296" s="19">
        <f>O1273+O1293</f>
        <v>1016.5833333333333</v>
      </c>
    </row>
    <row r="1297" spans="1:15" s="9" customFormat="1" ht="15.75">
      <c r="A1297" s="342" t="s">
        <v>168</v>
      </c>
      <c r="B1297" s="333">
        <f t="shared" ref="B1297:G1297" si="1794">SUM(B1296:B1296)</f>
        <v>1322</v>
      </c>
      <c r="C1297" s="333">
        <f t="shared" si="1794"/>
        <v>1196</v>
      </c>
      <c r="D1297" s="333">
        <f t="shared" si="1794"/>
        <v>1160</v>
      </c>
      <c r="E1297" s="333">
        <f t="shared" si="1794"/>
        <v>1012</v>
      </c>
      <c r="F1297" s="333">
        <f t="shared" si="1794"/>
        <v>870</v>
      </c>
      <c r="G1297" s="333">
        <f t="shared" si="1794"/>
        <v>864</v>
      </c>
      <c r="H1297" s="333">
        <f t="shared" ref="H1297:I1297" si="1795">SUM(H1296:H1296)</f>
        <v>1054</v>
      </c>
      <c r="I1297" s="333">
        <f t="shared" si="1795"/>
        <v>1003</v>
      </c>
      <c r="J1297" s="333">
        <f t="shared" ref="J1297:K1297" si="1796">SUM(J1296:J1296)</f>
        <v>876</v>
      </c>
      <c r="K1297" s="333">
        <f t="shared" si="1796"/>
        <v>877</v>
      </c>
      <c r="L1297" s="333">
        <f t="shared" ref="L1297:M1297" si="1797">SUM(L1296:L1296)</f>
        <v>976</v>
      </c>
      <c r="M1297" s="333">
        <f t="shared" si="1797"/>
        <v>989</v>
      </c>
      <c r="N1297" s="334">
        <f>SUM(N1296:N1296)</f>
        <v>12199</v>
      </c>
      <c r="O1297" s="335">
        <f>SUM(O1296:O1296)</f>
        <v>1016.5833333333333</v>
      </c>
    </row>
    <row r="1298" spans="1:15" s="9" customFormat="1">
      <c r="A1298" s="80"/>
      <c r="B1298" s="101"/>
      <c r="C1298" s="101"/>
      <c r="D1298" s="101"/>
      <c r="E1298" s="101"/>
      <c r="F1298" s="101"/>
      <c r="G1298" s="101"/>
      <c r="H1298" s="101"/>
      <c r="I1298" s="101"/>
      <c r="J1298" s="101"/>
      <c r="K1298" s="101"/>
      <c r="L1298" s="101"/>
      <c r="M1298" s="101"/>
      <c r="N1298" s="151"/>
      <c r="O1298" s="102"/>
    </row>
    <row r="1299" spans="1:15" s="9" customFormat="1" ht="15.75">
      <c r="A1299" s="14" t="s">
        <v>790</v>
      </c>
      <c r="B1299" s="27"/>
      <c r="C1299" s="27"/>
      <c r="D1299" s="27"/>
      <c r="E1299" s="27"/>
      <c r="F1299" s="27"/>
      <c r="G1299" s="27"/>
      <c r="H1299" s="27"/>
      <c r="I1299" s="27"/>
      <c r="J1299" s="27"/>
      <c r="K1299" s="27"/>
      <c r="L1299" s="27"/>
      <c r="M1299" s="27"/>
      <c r="N1299" s="135"/>
      <c r="O1299" s="28"/>
    </row>
    <row r="1300" spans="1:15" s="9" customFormat="1" ht="15.75">
      <c r="A1300" s="60" t="s">
        <v>791</v>
      </c>
      <c r="B1300" s="75"/>
      <c r="C1300" s="75"/>
      <c r="D1300" s="75"/>
      <c r="E1300" s="75"/>
      <c r="F1300" s="75"/>
      <c r="G1300" s="75"/>
      <c r="H1300" s="75"/>
      <c r="I1300" s="75"/>
      <c r="J1300" s="75"/>
      <c r="K1300" s="75"/>
      <c r="L1300" s="75"/>
      <c r="M1300" s="75"/>
      <c r="N1300" s="146"/>
      <c r="O1300" s="76"/>
    </row>
    <row r="1301" spans="1:15" s="9" customFormat="1" ht="15.75">
      <c r="A1301" s="17" t="s">
        <v>18</v>
      </c>
      <c r="B1301" s="18">
        <v>2</v>
      </c>
      <c r="C1301" s="18">
        <v>2</v>
      </c>
      <c r="D1301" s="18">
        <v>5</v>
      </c>
      <c r="E1301" s="18">
        <v>0</v>
      </c>
      <c r="F1301" s="18">
        <v>3</v>
      </c>
      <c r="G1301" s="18">
        <v>3</v>
      </c>
      <c r="H1301" s="18">
        <v>2</v>
      </c>
      <c r="I1301" s="18">
        <v>8</v>
      </c>
      <c r="J1301" s="81">
        <v>3</v>
      </c>
      <c r="K1301" s="18">
        <v>3</v>
      </c>
      <c r="L1301" s="18">
        <v>6</v>
      </c>
      <c r="M1301" s="18">
        <v>7</v>
      </c>
      <c r="N1301" s="133">
        <f>SUM(B1301:M1301)</f>
        <v>44</v>
      </c>
      <c r="O1301" s="19">
        <f>IF(N1301=0,0,AVERAGE(B1301:M1301))</f>
        <v>3.6666666666666665</v>
      </c>
    </row>
    <row r="1302" spans="1:15" s="9" customFormat="1" ht="15.75">
      <c r="A1302" s="17" t="s">
        <v>19</v>
      </c>
      <c r="B1302" s="18">
        <v>18</v>
      </c>
      <c r="C1302" s="18">
        <v>24</v>
      </c>
      <c r="D1302" s="18">
        <v>3</v>
      </c>
      <c r="E1302" s="18">
        <v>24</v>
      </c>
      <c r="F1302" s="18">
        <v>51</v>
      </c>
      <c r="G1302" s="18">
        <v>33</v>
      </c>
      <c r="H1302" s="18">
        <v>16</v>
      </c>
      <c r="I1302" s="18">
        <v>10</v>
      </c>
      <c r="J1302" s="81">
        <v>68</v>
      </c>
      <c r="K1302" s="18">
        <v>7</v>
      </c>
      <c r="L1302" s="18">
        <v>12</v>
      </c>
      <c r="M1302" s="18">
        <v>36</v>
      </c>
      <c r="N1302" s="133">
        <f>SUM(B1302:M1302)</f>
        <v>302</v>
      </c>
      <c r="O1302" s="19">
        <f>IF(N1302=0,0,AVERAGE(B1302:M1302))</f>
        <v>25.166666666666668</v>
      </c>
    </row>
    <row r="1303" spans="1:15" s="9" customFormat="1" ht="15.75">
      <c r="A1303" s="17" t="s">
        <v>20</v>
      </c>
      <c r="B1303" s="18">
        <v>17</v>
      </c>
      <c r="C1303" s="18">
        <v>27</v>
      </c>
      <c r="D1303" s="18">
        <v>30</v>
      </c>
      <c r="E1303" s="18">
        <v>5</v>
      </c>
      <c r="F1303" s="18">
        <v>58</v>
      </c>
      <c r="G1303" s="18">
        <v>19</v>
      </c>
      <c r="H1303" s="18">
        <v>26</v>
      </c>
      <c r="I1303" s="18">
        <v>42</v>
      </c>
      <c r="J1303" s="81">
        <v>31</v>
      </c>
      <c r="K1303" s="18">
        <v>45</v>
      </c>
      <c r="L1303" s="18">
        <v>47</v>
      </c>
      <c r="M1303" s="18">
        <v>16</v>
      </c>
      <c r="N1303" s="133">
        <f>SUM(B1303:M1303)</f>
        <v>363</v>
      </c>
      <c r="O1303" s="19">
        <f>IF(N1303=0,0,AVERAGE(B1303:M1303))</f>
        <v>30.25</v>
      </c>
    </row>
    <row r="1304" spans="1:15" s="9" customFormat="1" ht="15.75">
      <c r="A1304" s="29" t="s">
        <v>119</v>
      </c>
      <c r="B1304" s="18">
        <v>4</v>
      </c>
      <c r="C1304" s="18">
        <v>1</v>
      </c>
      <c r="D1304" s="18">
        <v>2</v>
      </c>
      <c r="E1304" s="18">
        <v>0</v>
      </c>
      <c r="F1304" s="18">
        <v>3</v>
      </c>
      <c r="G1304" s="18">
        <v>2</v>
      </c>
      <c r="H1304" s="18">
        <v>1</v>
      </c>
      <c r="I1304" s="18">
        <v>6</v>
      </c>
      <c r="J1304" s="81">
        <v>1</v>
      </c>
      <c r="K1304" s="18">
        <v>2</v>
      </c>
      <c r="L1304" s="18">
        <v>1</v>
      </c>
      <c r="M1304" s="18">
        <v>0</v>
      </c>
      <c r="N1304" s="133">
        <f>SUM(B1304:M1304)</f>
        <v>23</v>
      </c>
      <c r="O1304" s="19">
        <f>IF(N1304=0,0,AVERAGE(B1304:M1304))</f>
        <v>1.9166666666666667</v>
      </c>
    </row>
    <row r="1305" spans="1:15" s="9" customFormat="1" ht="15.75">
      <c r="A1305" s="20" t="s">
        <v>21</v>
      </c>
      <c r="B1305" s="21">
        <f t="shared" ref="B1305:C1305" si="1798">SUM(B1301:B1304)</f>
        <v>41</v>
      </c>
      <c r="C1305" s="21">
        <f t="shared" si="1798"/>
        <v>54</v>
      </c>
      <c r="D1305" s="21">
        <f t="shared" ref="D1305:E1305" si="1799">SUM(D1301:D1304)</f>
        <v>40</v>
      </c>
      <c r="E1305" s="21">
        <f t="shared" si="1799"/>
        <v>29</v>
      </c>
      <c r="F1305" s="21">
        <f t="shared" ref="F1305:G1305" si="1800">SUM(F1301:F1304)</f>
        <v>115</v>
      </c>
      <c r="G1305" s="21">
        <f t="shared" si="1800"/>
        <v>57</v>
      </c>
      <c r="H1305" s="21">
        <f t="shared" ref="H1305:I1305" si="1801">SUM(H1301:H1304)</f>
        <v>45</v>
      </c>
      <c r="I1305" s="21">
        <f t="shared" si="1801"/>
        <v>66</v>
      </c>
      <c r="J1305" s="21">
        <f t="shared" ref="J1305:K1305" si="1802">SUM(J1301:J1304)</f>
        <v>103</v>
      </c>
      <c r="K1305" s="21">
        <f t="shared" si="1802"/>
        <v>57</v>
      </c>
      <c r="L1305" s="21">
        <f t="shared" ref="L1305:M1305" si="1803">SUM(L1301:L1304)</f>
        <v>66</v>
      </c>
      <c r="M1305" s="21">
        <f t="shared" si="1803"/>
        <v>59</v>
      </c>
      <c r="N1305" s="128">
        <f>SUM(N1301:N1304)</f>
        <v>732</v>
      </c>
      <c r="O1305" s="22">
        <f>SUM(O1301:O1304)</f>
        <v>61</v>
      </c>
    </row>
    <row r="1306" spans="1:15" s="9" customFormat="1" ht="15.75">
      <c r="A1306" s="20" t="s">
        <v>112</v>
      </c>
      <c r="B1306" s="22">
        <f t="shared" ref="B1306:G1306" si="1804">IF(B1305=0,"",B1305/B$1676)</f>
        <v>1.3225806451612903</v>
      </c>
      <c r="C1306" s="22">
        <f t="shared" si="1804"/>
        <v>1.9285714285714286</v>
      </c>
      <c r="D1306" s="22">
        <f t="shared" si="1804"/>
        <v>1.2903225806451613</v>
      </c>
      <c r="E1306" s="22">
        <f t="shared" si="1804"/>
        <v>0.96666666666666667</v>
      </c>
      <c r="F1306" s="22">
        <f t="shared" si="1804"/>
        <v>3.7096774193548385</v>
      </c>
      <c r="G1306" s="22">
        <f t="shared" si="1804"/>
        <v>1.9</v>
      </c>
      <c r="H1306" s="22">
        <f t="shared" ref="H1306:I1306" si="1805">IF(H1305=0,"",H1305/H$1676)</f>
        <v>1.4516129032258065</v>
      </c>
      <c r="I1306" s="22">
        <f t="shared" si="1805"/>
        <v>2.129032258064516</v>
      </c>
      <c r="J1306" s="22">
        <f t="shared" ref="J1306:K1306" si="1806">IF(J1305=0,"",J1305/J$1676)</f>
        <v>3.4333333333333331</v>
      </c>
      <c r="K1306" s="22">
        <f t="shared" si="1806"/>
        <v>1.8387096774193548</v>
      </c>
      <c r="L1306" s="22">
        <f t="shared" ref="L1306:M1306" si="1807">IF(L1305=0,"",L1305/L$1676)</f>
        <v>2.2000000000000002</v>
      </c>
      <c r="M1306" s="22">
        <f t="shared" si="1807"/>
        <v>1.903225806451613</v>
      </c>
      <c r="N1306" s="128">
        <f>SUM(B1306:M1306)</f>
        <v>24.073732718894007</v>
      </c>
      <c r="O1306" s="22">
        <f>IF(N1306=0,0,AVERAGE(B1306:M1306))</f>
        <v>2.0061443932411671</v>
      </c>
    </row>
    <row r="1307" spans="1:15" s="9" customFormat="1">
      <c r="A1307" s="30"/>
      <c r="B1307" s="31"/>
      <c r="C1307" s="31"/>
      <c r="D1307" s="31"/>
      <c r="E1307" s="31"/>
      <c r="F1307" s="31"/>
      <c r="G1307" s="31"/>
      <c r="H1307" s="31"/>
      <c r="I1307" s="32"/>
      <c r="J1307" s="32"/>
      <c r="K1307" s="32"/>
      <c r="L1307" s="32"/>
      <c r="M1307" s="32"/>
      <c r="N1307" s="136"/>
      <c r="O1307" s="285"/>
    </row>
    <row r="1308" spans="1:15" s="9" customFormat="1" ht="15.75">
      <c r="A1308" s="182" t="s">
        <v>792</v>
      </c>
      <c r="B1308" s="452"/>
      <c r="C1308" s="452"/>
      <c r="D1308" s="452"/>
      <c r="E1308" s="452"/>
      <c r="F1308" s="452"/>
      <c r="G1308" s="452"/>
      <c r="H1308" s="452"/>
      <c r="I1308" s="452"/>
      <c r="J1308" s="452"/>
      <c r="K1308" s="452"/>
      <c r="L1308" s="452"/>
      <c r="M1308" s="452"/>
      <c r="N1308" s="453"/>
      <c r="O1308" s="249"/>
    </row>
    <row r="1309" spans="1:15" s="9" customFormat="1" ht="15.75">
      <c r="A1309" s="450" t="s">
        <v>580</v>
      </c>
      <c r="B1309" s="451">
        <v>0</v>
      </c>
      <c r="C1309" s="451">
        <v>0</v>
      </c>
      <c r="D1309" s="451">
        <v>0</v>
      </c>
      <c r="E1309" s="451">
        <v>0</v>
      </c>
      <c r="F1309" s="451">
        <v>0</v>
      </c>
      <c r="G1309" s="451">
        <v>0</v>
      </c>
      <c r="H1309" s="451">
        <v>0</v>
      </c>
      <c r="I1309" s="451">
        <v>0</v>
      </c>
      <c r="J1309" s="451">
        <v>0</v>
      </c>
      <c r="K1309" s="451">
        <v>0</v>
      </c>
      <c r="L1309" s="451">
        <v>0</v>
      </c>
      <c r="M1309" s="451">
        <v>0</v>
      </c>
      <c r="N1309" s="154">
        <f>SUM(B1309:M1309)</f>
        <v>0</v>
      </c>
      <c r="O1309" s="111">
        <f>IF(N1309=0,0,AVERAGE(B1309:M1309))</f>
        <v>0</v>
      </c>
    </row>
    <row r="1310" spans="1:15" s="9" customFormat="1" ht="15.75">
      <c r="A1310" s="284" t="s">
        <v>581</v>
      </c>
      <c r="B1310" s="287">
        <v>0</v>
      </c>
      <c r="C1310" s="287">
        <v>0</v>
      </c>
      <c r="D1310" s="287">
        <v>0</v>
      </c>
      <c r="E1310" s="287">
        <v>0</v>
      </c>
      <c r="F1310" s="287">
        <v>0</v>
      </c>
      <c r="G1310" s="287">
        <v>0</v>
      </c>
      <c r="H1310" s="287">
        <v>0</v>
      </c>
      <c r="I1310" s="287">
        <v>0</v>
      </c>
      <c r="J1310" s="287">
        <v>0</v>
      </c>
      <c r="K1310" s="287">
        <v>0</v>
      </c>
      <c r="L1310" s="287">
        <v>0</v>
      </c>
      <c r="M1310" s="287">
        <v>0</v>
      </c>
      <c r="N1310" s="133">
        <f>SUM(B1310:M1310)</f>
        <v>0</v>
      </c>
      <c r="O1310" s="19">
        <f>IF(N1310=0,0,AVERAGE(B1310:M1310))</f>
        <v>0</v>
      </c>
    </row>
    <row r="1311" spans="1:15" s="9" customFormat="1">
      <c r="A1311" s="53"/>
      <c r="B1311" s="51"/>
      <c r="C1311" s="51"/>
      <c r="D1311" s="51"/>
      <c r="E1311" s="51"/>
      <c r="F1311" s="51"/>
      <c r="G1311" s="51"/>
      <c r="H1311" s="51"/>
      <c r="I1311" s="51"/>
      <c r="J1311" s="51"/>
      <c r="K1311" s="51"/>
      <c r="L1311" s="51"/>
      <c r="M1311" s="51"/>
      <c r="N1311" s="141"/>
      <c r="O1311" s="286"/>
    </row>
    <row r="1312" spans="1:15" s="9" customFormat="1" ht="15.75">
      <c r="A1312" s="349" t="s">
        <v>156</v>
      </c>
      <c r="B1312" s="333">
        <f t="shared" ref="B1312:C1312" si="1808">B1305</f>
        <v>41</v>
      </c>
      <c r="C1312" s="333">
        <f t="shared" si="1808"/>
        <v>54</v>
      </c>
      <c r="D1312" s="333">
        <f t="shared" ref="D1312:E1312" si="1809">D1305</f>
        <v>40</v>
      </c>
      <c r="E1312" s="333">
        <f t="shared" si="1809"/>
        <v>29</v>
      </c>
      <c r="F1312" s="333">
        <f t="shared" ref="F1312:G1312" si="1810">F1305</f>
        <v>115</v>
      </c>
      <c r="G1312" s="333">
        <f t="shared" si="1810"/>
        <v>57</v>
      </c>
      <c r="H1312" s="333">
        <f t="shared" ref="H1312:I1312" si="1811">H1305</f>
        <v>45</v>
      </c>
      <c r="I1312" s="333">
        <f t="shared" si="1811"/>
        <v>66</v>
      </c>
      <c r="J1312" s="333">
        <f t="shared" ref="J1312:K1312" si="1812">J1305</f>
        <v>103</v>
      </c>
      <c r="K1312" s="333">
        <f t="shared" si="1812"/>
        <v>57</v>
      </c>
      <c r="L1312" s="333">
        <f t="shared" ref="L1312:M1312" si="1813">L1305</f>
        <v>66</v>
      </c>
      <c r="M1312" s="333">
        <f t="shared" si="1813"/>
        <v>59</v>
      </c>
      <c r="N1312" s="334">
        <f>SUM(B1312:M1312)</f>
        <v>732</v>
      </c>
      <c r="O1312" s="335">
        <f>O1305</f>
        <v>61</v>
      </c>
    </row>
    <row r="1313" spans="1:15" s="9" customFormat="1" ht="15.75">
      <c r="A1313" s="20" t="s">
        <v>112</v>
      </c>
      <c r="B1313" s="22">
        <f t="shared" ref="B1313:G1313" si="1814">IF(B1312=0,"",B1312/B$1676)</f>
        <v>1.3225806451612903</v>
      </c>
      <c r="C1313" s="22">
        <f t="shared" si="1814"/>
        <v>1.9285714285714286</v>
      </c>
      <c r="D1313" s="22">
        <f t="shared" si="1814"/>
        <v>1.2903225806451613</v>
      </c>
      <c r="E1313" s="22">
        <f t="shared" si="1814"/>
        <v>0.96666666666666667</v>
      </c>
      <c r="F1313" s="22">
        <f t="shared" si="1814"/>
        <v>3.7096774193548385</v>
      </c>
      <c r="G1313" s="22">
        <f t="shared" si="1814"/>
        <v>1.9</v>
      </c>
      <c r="H1313" s="22">
        <f t="shared" ref="H1313:I1313" si="1815">IF(H1312=0,"",H1312/H$1676)</f>
        <v>1.4516129032258065</v>
      </c>
      <c r="I1313" s="22">
        <f t="shared" si="1815"/>
        <v>2.129032258064516</v>
      </c>
      <c r="J1313" s="22">
        <f t="shared" ref="J1313:K1313" si="1816">IF(J1312=0,"",J1312/J$1676)</f>
        <v>3.4333333333333331</v>
      </c>
      <c r="K1313" s="22">
        <f t="shared" si="1816"/>
        <v>1.8387096774193548</v>
      </c>
      <c r="L1313" s="22">
        <f t="shared" ref="L1313:M1313" si="1817">IF(L1312=0,"",L1312/L$1676)</f>
        <v>2.2000000000000002</v>
      </c>
      <c r="M1313" s="22">
        <f t="shared" si="1817"/>
        <v>1.903225806451613</v>
      </c>
      <c r="N1313" s="128">
        <f>SUM(B1313:M1313)</f>
        <v>24.073732718894007</v>
      </c>
      <c r="O1313" s="22">
        <f>IF(N1313=0,0,AVERAGE(B1313:M1313))</f>
        <v>2.0061443932411671</v>
      </c>
    </row>
    <row r="1314" spans="1:15" s="9" customFormat="1">
      <c r="A1314" s="23"/>
      <c r="B1314" s="24"/>
      <c r="C1314" s="24"/>
      <c r="D1314" s="24"/>
      <c r="E1314" s="25"/>
      <c r="F1314" s="25"/>
      <c r="G1314" s="25"/>
      <c r="H1314" s="25"/>
      <c r="I1314" s="25"/>
      <c r="J1314" s="25"/>
      <c r="K1314" s="25"/>
      <c r="L1314" s="25"/>
      <c r="M1314" s="25"/>
      <c r="N1314" s="134"/>
      <c r="O1314" s="13"/>
    </row>
    <row r="1315" spans="1:15" s="9" customFormat="1" ht="15.75">
      <c r="A1315" s="14" t="s">
        <v>793</v>
      </c>
      <c r="B1315" s="27"/>
      <c r="C1315" s="27"/>
      <c r="D1315" s="27"/>
      <c r="E1315" s="27"/>
      <c r="F1315" s="27"/>
      <c r="G1315" s="27"/>
      <c r="H1315" s="27"/>
      <c r="I1315" s="27"/>
      <c r="J1315" s="27"/>
      <c r="K1315" s="27"/>
      <c r="L1315" s="27"/>
      <c r="M1315" s="27"/>
      <c r="N1315" s="135"/>
      <c r="O1315" s="28"/>
    </row>
    <row r="1316" spans="1:15" s="9" customFormat="1" ht="15.75">
      <c r="A1316" s="60" t="s">
        <v>794</v>
      </c>
      <c r="B1316" s="75"/>
      <c r="C1316" s="75"/>
      <c r="D1316" s="75"/>
      <c r="E1316" s="75"/>
      <c r="F1316" s="75"/>
      <c r="G1316" s="75"/>
      <c r="H1316" s="75"/>
      <c r="I1316" s="75"/>
      <c r="J1316" s="75"/>
      <c r="K1316" s="75"/>
      <c r="L1316" s="75"/>
      <c r="M1316" s="75"/>
      <c r="N1316" s="146"/>
      <c r="O1316" s="76"/>
    </row>
    <row r="1317" spans="1:15" s="191" customFormat="1" ht="15.75">
      <c r="A1317" s="29" t="s">
        <v>119</v>
      </c>
      <c r="B1317" s="18">
        <v>0</v>
      </c>
      <c r="C1317" s="18">
        <v>0</v>
      </c>
      <c r="D1317" s="18">
        <v>0</v>
      </c>
      <c r="E1317" s="18">
        <v>0</v>
      </c>
      <c r="F1317" s="18">
        <v>0</v>
      </c>
      <c r="G1317" s="18">
        <v>0</v>
      </c>
      <c r="H1317" s="18">
        <v>0</v>
      </c>
      <c r="I1317" s="18">
        <v>0</v>
      </c>
      <c r="J1317" s="81">
        <v>0</v>
      </c>
      <c r="K1317" s="81">
        <v>0</v>
      </c>
      <c r="L1317" s="81">
        <v>0</v>
      </c>
      <c r="M1317" s="81">
        <v>0</v>
      </c>
      <c r="N1317" s="133">
        <f>SUM(B1317:M1317)</f>
        <v>0</v>
      </c>
      <c r="O1317" s="19">
        <f>IF(N1317=0,0,AVERAGE(B1317:M1317))</f>
        <v>0</v>
      </c>
    </row>
    <row r="1318" spans="1:15" s="9" customFormat="1" ht="15.75">
      <c r="A1318" s="17" t="s">
        <v>18</v>
      </c>
      <c r="B1318" s="18">
        <v>0</v>
      </c>
      <c r="C1318" s="18">
        <v>0</v>
      </c>
      <c r="D1318" s="18">
        <v>0</v>
      </c>
      <c r="E1318" s="18">
        <v>0</v>
      </c>
      <c r="F1318" s="18">
        <v>0</v>
      </c>
      <c r="G1318" s="18">
        <v>0</v>
      </c>
      <c r="H1318" s="18">
        <v>0</v>
      </c>
      <c r="I1318" s="18">
        <v>0</v>
      </c>
      <c r="J1318" s="81">
        <v>0</v>
      </c>
      <c r="K1318" s="81">
        <v>0</v>
      </c>
      <c r="L1318" s="81">
        <v>0</v>
      </c>
      <c r="M1318" s="81">
        <v>0</v>
      </c>
      <c r="N1318" s="133">
        <f>SUM(B1318:M1318)</f>
        <v>0</v>
      </c>
      <c r="O1318" s="19">
        <f>IF(N1318=0,0,AVERAGE(B1318:M1318))</f>
        <v>0</v>
      </c>
    </row>
    <row r="1319" spans="1:15" s="9" customFormat="1" ht="15.75">
      <c r="A1319" s="17" t="s">
        <v>19</v>
      </c>
      <c r="B1319" s="18">
        <v>0</v>
      </c>
      <c r="C1319" s="18">
        <v>0</v>
      </c>
      <c r="D1319" s="18">
        <v>0</v>
      </c>
      <c r="E1319" s="18">
        <v>0</v>
      </c>
      <c r="F1319" s="18">
        <v>0</v>
      </c>
      <c r="G1319" s="18">
        <v>0</v>
      </c>
      <c r="H1319" s="18">
        <v>0</v>
      </c>
      <c r="I1319" s="18">
        <v>0</v>
      </c>
      <c r="J1319" s="81">
        <v>0</v>
      </c>
      <c r="K1319" s="81">
        <v>0</v>
      </c>
      <c r="L1319" s="81">
        <v>0</v>
      </c>
      <c r="M1319" s="81">
        <v>0</v>
      </c>
      <c r="N1319" s="133">
        <f>SUM(B1319:M1319)</f>
        <v>0</v>
      </c>
      <c r="O1319" s="19">
        <f>IF(N1319=0,0,AVERAGE(B1319:M1319))</f>
        <v>0</v>
      </c>
    </row>
    <row r="1320" spans="1:15" s="9" customFormat="1" ht="15.75">
      <c r="A1320" s="17" t="s">
        <v>20</v>
      </c>
      <c r="B1320" s="18">
        <v>31</v>
      </c>
      <c r="C1320" s="18">
        <v>29</v>
      </c>
      <c r="D1320" s="18">
        <v>45</v>
      </c>
      <c r="E1320" s="18">
        <v>26</v>
      </c>
      <c r="F1320" s="18">
        <v>17</v>
      </c>
      <c r="G1320" s="18">
        <v>35</v>
      </c>
      <c r="H1320" s="18">
        <v>61</v>
      </c>
      <c r="I1320" s="18">
        <v>34</v>
      </c>
      <c r="J1320" s="81">
        <v>29</v>
      </c>
      <c r="K1320" s="81">
        <v>50</v>
      </c>
      <c r="L1320" s="81">
        <v>41</v>
      </c>
      <c r="M1320" s="81">
        <v>16</v>
      </c>
      <c r="N1320" s="133">
        <f>SUM(B1320:M1320)</f>
        <v>414</v>
      </c>
      <c r="O1320" s="19">
        <f>IF(N1320=0,0,AVERAGE(B1320:M1320))</f>
        <v>34.5</v>
      </c>
    </row>
    <row r="1321" spans="1:15" s="9" customFormat="1" ht="15.75">
      <c r="A1321" s="20" t="s">
        <v>21</v>
      </c>
      <c r="B1321" s="21">
        <f t="shared" ref="B1321:C1321" si="1818">SUM(B1317:B1320)</f>
        <v>31</v>
      </c>
      <c r="C1321" s="21">
        <f t="shared" si="1818"/>
        <v>29</v>
      </c>
      <c r="D1321" s="21">
        <f t="shared" ref="D1321:E1321" si="1819">SUM(D1317:D1320)</f>
        <v>45</v>
      </c>
      <c r="E1321" s="21">
        <f t="shared" si="1819"/>
        <v>26</v>
      </c>
      <c r="F1321" s="21">
        <f t="shared" ref="F1321:G1321" si="1820">SUM(F1317:F1320)</f>
        <v>17</v>
      </c>
      <c r="G1321" s="21">
        <f t="shared" si="1820"/>
        <v>35</v>
      </c>
      <c r="H1321" s="21">
        <f t="shared" ref="H1321:I1321" si="1821">SUM(H1317:H1320)</f>
        <v>61</v>
      </c>
      <c r="I1321" s="21">
        <f t="shared" si="1821"/>
        <v>34</v>
      </c>
      <c r="J1321" s="21">
        <f t="shared" ref="J1321:K1321" si="1822">SUM(J1317:J1320)</f>
        <v>29</v>
      </c>
      <c r="K1321" s="21">
        <f t="shared" si="1822"/>
        <v>50</v>
      </c>
      <c r="L1321" s="21">
        <f t="shared" ref="L1321:M1321" si="1823">SUM(L1317:L1320)</f>
        <v>41</v>
      </c>
      <c r="M1321" s="21">
        <f t="shared" si="1823"/>
        <v>16</v>
      </c>
      <c r="N1321" s="128">
        <f>SUM(N1317:N1320)</f>
        <v>414</v>
      </c>
      <c r="O1321" s="22">
        <f>AVERAGE(B1321:M1321)</f>
        <v>34.5</v>
      </c>
    </row>
    <row r="1322" spans="1:15" s="9" customFormat="1" ht="15.75">
      <c r="A1322" s="20" t="s">
        <v>112</v>
      </c>
      <c r="B1322" s="22">
        <f t="shared" ref="B1322:G1322" si="1824">IF(B1321=0,"",B1321/B$1676)</f>
        <v>1</v>
      </c>
      <c r="C1322" s="22">
        <f t="shared" si="1824"/>
        <v>1.0357142857142858</v>
      </c>
      <c r="D1322" s="22">
        <f t="shared" si="1824"/>
        <v>1.4516129032258065</v>
      </c>
      <c r="E1322" s="22">
        <f t="shared" si="1824"/>
        <v>0.8666666666666667</v>
      </c>
      <c r="F1322" s="22">
        <f t="shared" si="1824"/>
        <v>0.54838709677419351</v>
      </c>
      <c r="G1322" s="22">
        <f t="shared" si="1824"/>
        <v>1.1666666666666667</v>
      </c>
      <c r="H1322" s="22">
        <f t="shared" ref="H1322:I1322" si="1825">IF(H1321=0,"",H1321/H$1676)</f>
        <v>1.967741935483871</v>
      </c>
      <c r="I1322" s="22">
        <f t="shared" si="1825"/>
        <v>1.096774193548387</v>
      </c>
      <c r="J1322" s="22">
        <f t="shared" ref="J1322:K1322" si="1826">IF(J1321=0,"",J1321/J$1676)</f>
        <v>0.96666666666666667</v>
      </c>
      <c r="K1322" s="22">
        <f t="shared" si="1826"/>
        <v>1.6129032258064515</v>
      </c>
      <c r="L1322" s="22">
        <f t="shared" ref="L1322:M1322" si="1827">IF(L1321=0,"",L1321/L$1676)</f>
        <v>1.3666666666666667</v>
      </c>
      <c r="M1322" s="22">
        <f t="shared" si="1827"/>
        <v>0.5161290322580645</v>
      </c>
      <c r="N1322" s="128">
        <f>SUM(B1322:M1322)</f>
        <v>13.595929339477726</v>
      </c>
      <c r="O1322" s="22">
        <f>IF(N1322=0,0,AVERAGE(B1322:M1322))</f>
        <v>1.1329941116231439</v>
      </c>
    </row>
    <row r="1323" spans="1:15" s="9" customFormat="1" ht="15.75">
      <c r="A1323" s="187"/>
      <c r="B1323" s="188"/>
      <c r="C1323" s="188"/>
      <c r="D1323" s="188"/>
      <c r="E1323" s="188"/>
      <c r="F1323" s="188"/>
      <c r="G1323" s="188"/>
      <c r="H1323" s="189"/>
      <c r="I1323" s="189"/>
      <c r="J1323" s="189"/>
      <c r="K1323" s="189"/>
      <c r="L1323" s="189"/>
      <c r="M1323" s="189"/>
      <c r="N1323" s="190"/>
      <c r="O1323" s="188"/>
    </row>
    <row r="1324" spans="1:15" s="9" customFormat="1" ht="15.75">
      <c r="A1324" s="14" t="s">
        <v>795</v>
      </c>
      <c r="B1324" s="15"/>
      <c r="C1324" s="15"/>
      <c r="D1324" s="15"/>
      <c r="E1324" s="15"/>
      <c r="F1324" s="15"/>
      <c r="G1324" s="15"/>
      <c r="H1324" s="15"/>
      <c r="I1324" s="15"/>
      <c r="J1324" s="15"/>
      <c r="K1324" s="15"/>
      <c r="L1324" s="15"/>
      <c r="M1324" s="15"/>
      <c r="N1324" s="132"/>
      <c r="O1324" s="16"/>
    </row>
    <row r="1325" spans="1:15" s="9" customFormat="1" ht="15.75">
      <c r="A1325" s="60" t="s">
        <v>796</v>
      </c>
      <c r="B1325" s="15"/>
      <c r="C1325" s="15"/>
      <c r="D1325" s="15"/>
      <c r="E1325" s="15"/>
      <c r="F1325" s="15"/>
      <c r="G1325" s="15"/>
      <c r="H1325" s="15"/>
      <c r="I1325" s="15"/>
      <c r="J1325" s="15"/>
      <c r="K1325" s="15"/>
      <c r="L1325" s="15"/>
      <c r="M1325" s="15"/>
      <c r="N1325" s="132"/>
      <c r="O1325" s="16"/>
    </row>
    <row r="1326" spans="1:15" s="9" customFormat="1" ht="15.75">
      <c r="A1326" s="37" t="s">
        <v>18</v>
      </c>
      <c r="B1326" s="18">
        <v>0</v>
      </c>
      <c r="C1326" s="18">
        <v>0</v>
      </c>
      <c r="D1326" s="18">
        <v>0</v>
      </c>
      <c r="E1326" s="18">
        <v>0</v>
      </c>
      <c r="F1326" s="18">
        <v>0</v>
      </c>
      <c r="G1326" s="18">
        <v>0</v>
      </c>
      <c r="H1326" s="18">
        <v>0</v>
      </c>
      <c r="I1326" s="18">
        <v>0</v>
      </c>
      <c r="J1326" s="18">
        <v>0</v>
      </c>
      <c r="K1326" s="18">
        <v>0</v>
      </c>
      <c r="L1326" s="18">
        <v>0</v>
      </c>
      <c r="M1326" s="18">
        <v>0</v>
      </c>
      <c r="N1326" s="133">
        <f>SUM(B1326:M1326)</f>
        <v>0</v>
      </c>
      <c r="O1326" s="19">
        <f>IF(N1326=0,0,AVERAGE(B1326:M1326))</f>
        <v>0</v>
      </c>
    </row>
    <row r="1327" spans="1:15" s="9" customFormat="1" ht="15.75">
      <c r="A1327" s="37" t="s">
        <v>19</v>
      </c>
      <c r="B1327" s="18">
        <v>0</v>
      </c>
      <c r="C1327" s="18">
        <v>0</v>
      </c>
      <c r="D1327" s="18">
        <v>0</v>
      </c>
      <c r="E1327" s="18">
        <v>0</v>
      </c>
      <c r="F1327" s="18">
        <v>0</v>
      </c>
      <c r="G1327" s="18">
        <v>0</v>
      </c>
      <c r="H1327" s="18">
        <v>0</v>
      </c>
      <c r="I1327" s="18">
        <v>0</v>
      </c>
      <c r="J1327" s="18">
        <v>0</v>
      </c>
      <c r="K1327" s="18">
        <v>0</v>
      </c>
      <c r="L1327" s="18">
        <v>0</v>
      </c>
      <c r="M1327" s="18">
        <v>0</v>
      </c>
      <c r="N1327" s="133">
        <f>SUM(B1327:M1327)</f>
        <v>0</v>
      </c>
      <c r="O1327" s="19">
        <f>IF(N1327=0,0,AVERAGE(B1327:M1327))</f>
        <v>0</v>
      </c>
    </row>
    <row r="1328" spans="1:15" s="9" customFormat="1" ht="15.75">
      <c r="A1328" s="37" t="s">
        <v>20</v>
      </c>
      <c r="B1328" s="18">
        <v>0</v>
      </c>
      <c r="C1328" s="18">
        <v>0</v>
      </c>
      <c r="D1328" s="18">
        <v>0</v>
      </c>
      <c r="E1328" s="18">
        <v>0</v>
      </c>
      <c r="F1328" s="18">
        <v>0</v>
      </c>
      <c r="G1328" s="18">
        <v>0</v>
      </c>
      <c r="H1328" s="18">
        <v>0</v>
      </c>
      <c r="I1328" s="18">
        <v>0</v>
      </c>
      <c r="J1328" s="18">
        <v>0</v>
      </c>
      <c r="K1328" s="18">
        <v>0</v>
      </c>
      <c r="L1328" s="18">
        <v>0</v>
      </c>
      <c r="M1328" s="18">
        <v>0</v>
      </c>
      <c r="N1328" s="133">
        <f>SUM(B1328:M1328)</f>
        <v>0</v>
      </c>
      <c r="O1328" s="19">
        <f>IF(N1328=0,0,AVERAGE(B1328:M1328))</f>
        <v>0</v>
      </c>
    </row>
    <row r="1329" spans="1:15" s="9" customFormat="1" ht="15.75">
      <c r="A1329" s="56" t="s">
        <v>21</v>
      </c>
      <c r="B1329" s="21">
        <f t="shared" ref="B1329:C1329" si="1828">SUM(B1326:B1328)</f>
        <v>0</v>
      </c>
      <c r="C1329" s="21">
        <f t="shared" si="1828"/>
        <v>0</v>
      </c>
      <c r="D1329" s="21">
        <f t="shared" ref="D1329:E1329" si="1829">SUM(D1326:D1328)</f>
        <v>0</v>
      </c>
      <c r="E1329" s="21">
        <f t="shared" si="1829"/>
        <v>0</v>
      </c>
      <c r="F1329" s="21">
        <f t="shared" ref="F1329:G1329" si="1830">SUM(F1326:F1328)</f>
        <v>0</v>
      </c>
      <c r="G1329" s="21">
        <f t="shared" si="1830"/>
        <v>0</v>
      </c>
      <c r="H1329" s="21">
        <f t="shared" ref="H1329:I1329" si="1831">SUM(H1326:H1328)</f>
        <v>0</v>
      </c>
      <c r="I1329" s="21">
        <f t="shared" si="1831"/>
        <v>0</v>
      </c>
      <c r="J1329" s="21">
        <f t="shared" ref="J1329:K1329" si="1832">SUM(J1326:J1328)</f>
        <v>0</v>
      </c>
      <c r="K1329" s="21">
        <f t="shared" si="1832"/>
        <v>0</v>
      </c>
      <c r="L1329" s="21">
        <f t="shared" ref="L1329:M1329" si="1833">SUM(L1326:L1328)</f>
        <v>0</v>
      </c>
      <c r="M1329" s="21">
        <f t="shared" si="1833"/>
        <v>0</v>
      </c>
      <c r="N1329" s="128">
        <f>SUM(N1326:N1328)</f>
        <v>0</v>
      </c>
      <c r="O1329" s="22">
        <f>SUM(O1326:O1328)</f>
        <v>0</v>
      </c>
    </row>
    <row r="1330" spans="1:15" s="9" customFormat="1" ht="15.75">
      <c r="A1330" s="56" t="s">
        <v>112</v>
      </c>
      <c r="B1330" s="21" t="s">
        <v>44</v>
      </c>
      <c r="C1330" s="21" t="s">
        <v>44</v>
      </c>
      <c r="D1330" s="21" t="s">
        <v>44</v>
      </c>
      <c r="E1330" s="21" t="s">
        <v>44</v>
      </c>
      <c r="F1330" s="21" t="s">
        <v>44</v>
      </c>
      <c r="G1330" s="21" t="s">
        <v>44</v>
      </c>
      <c r="H1330" s="21" t="s">
        <v>44</v>
      </c>
      <c r="I1330" s="21" t="s">
        <v>44</v>
      </c>
      <c r="J1330" s="21" t="s">
        <v>44</v>
      </c>
      <c r="K1330" s="21" t="s">
        <v>44</v>
      </c>
      <c r="L1330" s="21" t="s">
        <v>44</v>
      </c>
      <c r="M1330" s="21" t="s">
        <v>44</v>
      </c>
      <c r="N1330" s="128">
        <f>SUM(B1330:M1330)</f>
        <v>0</v>
      </c>
      <c r="O1330" s="22">
        <f>IF(N1330=0,0,AVERAGE(B1330:M1330))</f>
        <v>0</v>
      </c>
    </row>
    <row r="1331" spans="1:15" s="9" customFormat="1" ht="15.75">
      <c r="A1331" s="94"/>
      <c r="B1331" s="24"/>
      <c r="C1331" s="24"/>
      <c r="D1331" s="24"/>
      <c r="E1331" s="24"/>
      <c r="F1331" s="24"/>
      <c r="G1331" s="24"/>
      <c r="H1331" s="24"/>
      <c r="I1331" s="24"/>
      <c r="J1331" s="25"/>
      <c r="K1331" s="25"/>
      <c r="L1331" s="25"/>
      <c r="M1331" s="25"/>
      <c r="N1331" s="134"/>
      <c r="O1331" s="95"/>
    </row>
    <row r="1332" spans="1:15" s="9" customFormat="1" ht="15.75">
      <c r="A1332" s="60" t="s">
        <v>797</v>
      </c>
      <c r="B1332" s="15"/>
      <c r="C1332" s="15"/>
      <c r="D1332" s="15"/>
      <c r="E1332" s="15"/>
      <c r="F1332" s="15"/>
      <c r="G1332" s="15"/>
      <c r="H1332" s="15"/>
      <c r="I1332" s="15"/>
      <c r="J1332" s="15"/>
      <c r="K1332" s="15"/>
      <c r="L1332" s="15"/>
      <c r="M1332" s="15"/>
      <c r="N1332" s="132"/>
      <c r="O1332" s="16"/>
    </row>
    <row r="1333" spans="1:15" s="9" customFormat="1" ht="15.75">
      <c r="A1333" s="97" t="s">
        <v>114</v>
      </c>
      <c r="B1333" s="99">
        <v>30</v>
      </c>
      <c r="C1333" s="99">
        <f>17+12</f>
        <v>29</v>
      </c>
      <c r="D1333" s="99">
        <v>34</v>
      </c>
      <c r="E1333" s="99">
        <f>18+7</f>
        <v>25</v>
      </c>
      <c r="F1333" s="99">
        <v>37</v>
      </c>
      <c r="G1333" s="99">
        <f>14+24</f>
        <v>38</v>
      </c>
      <c r="H1333" s="99">
        <v>23</v>
      </c>
      <c r="I1333" s="99">
        <v>25</v>
      </c>
      <c r="J1333" s="99">
        <v>35</v>
      </c>
      <c r="K1333" s="99">
        <f>11+15</f>
        <v>26</v>
      </c>
      <c r="L1333" s="99">
        <v>30</v>
      </c>
      <c r="M1333" s="99">
        <v>24</v>
      </c>
      <c r="N1333" s="133">
        <f>SUM(B1333:M1333)</f>
        <v>356</v>
      </c>
      <c r="O1333" s="19">
        <f>IF(N1333=0,0,AVERAGE(B1333:M1333))</f>
        <v>29.666666666666668</v>
      </c>
    </row>
    <row r="1334" spans="1:15" s="9" customFormat="1" ht="15.75">
      <c r="A1334" s="56" t="s">
        <v>21</v>
      </c>
      <c r="B1334" s="21">
        <f t="shared" ref="B1334:C1334" si="1834">SUM(B1333)</f>
        <v>30</v>
      </c>
      <c r="C1334" s="21">
        <f t="shared" si="1834"/>
        <v>29</v>
      </c>
      <c r="D1334" s="21">
        <f t="shared" ref="D1334:E1334" si="1835">SUM(D1333)</f>
        <v>34</v>
      </c>
      <c r="E1334" s="21">
        <f t="shared" si="1835"/>
        <v>25</v>
      </c>
      <c r="F1334" s="21">
        <f t="shared" ref="F1334:G1334" si="1836">SUM(F1333)</f>
        <v>37</v>
      </c>
      <c r="G1334" s="21">
        <f t="shared" si="1836"/>
        <v>38</v>
      </c>
      <c r="H1334" s="21">
        <f t="shared" ref="H1334:I1334" si="1837">SUM(H1333)</f>
        <v>23</v>
      </c>
      <c r="I1334" s="21">
        <f t="shared" si="1837"/>
        <v>25</v>
      </c>
      <c r="J1334" s="21">
        <f t="shared" ref="J1334:K1334" si="1838">SUM(J1333)</f>
        <v>35</v>
      </c>
      <c r="K1334" s="21">
        <f t="shared" si="1838"/>
        <v>26</v>
      </c>
      <c r="L1334" s="21">
        <f t="shared" ref="L1334:M1334" si="1839">SUM(L1333)</f>
        <v>30</v>
      </c>
      <c r="M1334" s="21">
        <f t="shared" si="1839"/>
        <v>24</v>
      </c>
      <c r="N1334" s="128">
        <f>SUM(N1333)</f>
        <v>356</v>
      </c>
      <c r="O1334" s="22">
        <f>SUM(O1333)</f>
        <v>29.666666666666668</v>
      </c>
    </row>
    <row r="1335" spans="1:15" s="9" customFormat="1" ht="15.75">
      <c r="A1335" s="56" t="s">
        <v>112</v>
      </c>
      <c r="B1335" s="22">
        <f t="shared" ref="B1335:G1335" si="1840">IF(B1334=0,"",B1334/B$1676)</f>
        <v>0.967741935483871</v>
      </c>
      <c r="C1335" s="22">
        <f t="shared" si="1840"/>
        <v>1.0357142857142858</v>
      </c>
      <c r="D1335" s="22">
        <f t="shared" si="1840"/>
        <v>1.096774193548387</v>
      </c>
      <c r="E1335" s="22">
        <f t="shared" si="1840"/>
        <v>0.83333333333333337</v>
      </c>
      <c r="F1335" s="22">
        <f t="shared" si="1840"/>
        <v>1.1935483870967742</v>
      </c>
      <c r="G1335" s="22">
        <f t="shared" si="1840"/>
        <v>1.2666666666666666</v>
      </c>
      <c r="H1335" s="22">
        <f t="shared" ref="H1335:I1335" si="1841">IF(H1334=0,"",H1334/H$1676)</f>
        <v>0.74193548387096775</v>
      </c>
      <c r="I1335" s="22">
        <f t="shared" si="1841"/>
        <v>0.80645161290322576</v>
      </c>
      <c r="J1335" s="22">
        <f t="shared" ref="J1335:K1335" si="1842">IF(J1334=0,"",J1334/J$1676)</f>
        <v>1.1666666666666667</v>
      </c>
      <c r="K1335" s="22">
        <f t="shared" si="1842"/>
        <v>0.83870967741935487</v>
      </c>
      <c r="L1335" s="22">
        <f t="shared" ref="L1335:M1335" si="1843">IF(L1334=0,"",L1334/L$1676)</f>
        <v>1</v>
      </c>
      <c r="M1335" s="22">
        <f t="shared" si="1843"/>
        <v>0.77419354838709675</v>
      </c>
      <c r="N1335" s="128">
        <f>SUM(B1335:M1335)</f>
        <v>11.721735791090628</v>
      </c>
      <c r="O1335" s="22">
        <f>IF(N1335=0,0,AVERAGE(B1335:M1335))</f>
        <v>0.97681131592421899</v>
      </c>
    </row>
    <row r="1336" spans="1:15" s="9" customFormat="1" ht="15.75">
      <c r="A1336" s="94"/>
      <c r="B1336" s="24"/>
      <c r="C1336" s="24"/>
      <c r="D1336" s="24"/>
      <c r="E1336" s="24"/>
      <c r="F1336" s="24"/>
      <c r="G1336" s="24"/>
      <c r="H1336" s="24"/>
      <c r="I1336" s="24"/>
      <c r="J1336" s="24"/>
      <c r="K1336" s="24"/>
      <c r="L1336" s="24"/>
      <c r="M1336" s="24"/>
      <c r="N1336" s="134"/>
      <c r="O1336" s="54"/>
    </row>
    <row r="1337" spans="1:15" s="9" customFormat="1" ht="15.75">
      <c r="A1337" s="85" t="s">
        <v>153</v>
      </c>
      <c r="B1337" s="86">
        <f t="shared" ref="B1337:C1337" si="1844">B1329</f>
        <v>0</v>
      </c>
      <c r="C1337" s="86">
        <f t="shared" si="1844"/>
        <v>0</v>
      </c>
      <c r="D1337" s="86">
        <f t="shared" ref="D1337:E1337" si="1845">D1329</f>
        <v>0</v>
      </c>
      <c r="E1337" s="86">
        <f t="shared" si="1845"/>
        <v>0</v>
      </c>
      <c r="F1337" s="86">
        <f t="shared" ref="F1337:G1337" si="1846">F1329</f>
        <v>0</v>
      </c>
      <c r="G1337" s="86">
        <f t="shared" si="1846"/>
        <v>0</v>
      </c>
      <c r="H1337" s="86">
        <f t="shared" ref="H1337:I1337" si="1847">H1329</f>
        <v>0</v>
      </c>
      <c r="I1337" s="86">
        <f t="shared" si="1847"/>
        <v>0</v>
      </c>
      <c r="J1337" s="86">
        <f t="shared" ref="J1337:K1337" si="1848">J1329</f>
        <v>0</v>
      </c>
      <c r="K1337" s="86">
        <f t="shared" si="1848"/>
        <v>0</v>
      </c>
      <c r="L1337" s="86">
        <f t="shared" ref="L1337:M1337" si="1849">L1329</f>
        <v>0</v>
      </c>
      <c r="M1337" s="86">
        <f t="shared" si="1849"/>
        <v>0</v>
      </c>
      <c r="N1337" s="133">
        <f>SUM(B1337:M1337)</f>
        <v>0</v>
      </c>
      <c r="O1337" s="19">
        <f>IF(N1337=0,0,AVERAGE(B1337:M1337))</f>
        <v>0</v>
      </c>
    </row>
    <row r="1338" spans="1:15" s="9" customFormat="1" ht="15.75">
      <c r="A1338" s="85" t="s">
        <v>154</v>
      </c>
      <c r="B1338" s="86">
        <f t="shared" ref="B1338:C1338" si="1850">B1334</f>
        <v>30</v>
      </c>
      <c r="C1338" s="86">
        <f t="shared" si="1850"/>
        <v>29</v>
      </c>
      <c r="D1338" s="86">
        <f t="shared" ref="D1338:E1338" si="1851">D1334</f>
        <v>34</v>
      </c>
      <c r="E1338" s="86">
        <f t="shared" si="1851"/>
        <v>25</v>
      </c>
      <c r="F1338" s="86">
        <f t="shared" ref="F1338:G1338" si="1852">F1334</f>
        <v>37</v>
      </c>
      <c r="G1338" s="86">
        <f t="shared" si="1852"/>
        <v>38</v>
      </c>
      <c r="H1338" s="86">
        <f t="shared" ref="H1338:I1338" si="1853">H1334</f>
        <v>23</v>
      </c>
      <c r="I1338" s="86">
        <f t="shared" si="1853"/>
        <v>25</v>
      </c>
      <c r="J1338" s="86">
        <f t="shared" ref="J1338:K1338" si="1854">J1334</f>
        <v>35</v>
      </c>
      <c r="K1338" s="86">
        <f t="shared" si="1854"/>
        <v>26</v>
      </c>
      <c r="L1338" s="86">
        <f t="shared" ref="L1338:M1338" si="1855">L1334</f>
        <v>30</v>
      </c>
      <c r="M1338" s="86">
        <f t="shared" si="1855"/>
        <v>24</v>
      </c>
      <c r="N1338" s="133">
        <f>SUM(B1338:M1338)</f>
        <v>356</v>
      </c>
      <c r="O1338" s="19">
        <f>IF(N1338=0,0,AVERAGE(B1338:M1338))</f>
        <v>29.666666666666668</v>
      </c>
    </row>
    <row r="1339" spans="1:15" s="9" customFormat="1" ht="15.75">
      <c r="A1339" s="342" t="s">
        <v>155</v>
      </c>
      <c r="B1339" s="333">
        <f t="shared" ref="B1339:C1339" si="1856">SUM(B1337:B1338)</f>
        <v>30</v>
      </c>
      <c r="C1339" s="333">
        <f t="shared" si="1856"/>
        <v>29</v>
      </c>
      <c r="D1339" s="333">
        <f t="shared" ref="D1339:E1339" si="1857">SUM(D1337:D1338)</f>
        <v>34</v>
      </c>
      <c r="E1339" s="333">
        <f t="shared" si="1857"/>
        <v>25</v>
      </c>
      <c r="F1339" s="333">
        <f t="shared" ref="F1339:G1339" si="1858">SUM(F1337:F1338)</f>
        <v>37</v>
      </c>
      <c r="G1339" s="333">
        <f t="shared" si="1858"/>
        <v>38</v>
      </c>
      <c r="H1339" s="333">
        <f t="shared" ref="H1339:I1339" si="1859">SUM(H1337:H1338)</f>
        <v>23</v>
      </c>
      <c r="I1339" s="333">
        <f t="shared" si="1859"/>
        <v>25</v>
      </c>
      <c r="J1339" s="333">
        <f t="shared" ref="J1339:K1339" si="1860">SUM(J1337:J1338)</f>
        <v>35</v>
      </c>
      <c r="K1339" s="333">
        <f t="shared" si="1860"/>
        <v>26</v>
      </c>
      <c r="L1339" s="333">
        <f t="shared" ref="L1339:M1339" si="1861">SUM(L1337:L1338)</f>
        <v>30</v>
      </c>
      <c r="M1339" s="333">
        <f t="shared" si="1861"/>
        <v>24</v>
      </c>
      <c r="N1339" s="334">
        <f>SUM(N1337:N1338)</f>
        <v>356</v>
      </c>
      <c r="O1339" s="335">
        <f>SUM(O1337:O1338)</f>
        <v>29.666666666666668</v>
      </c>
    </row>
    <row r="1340" spans="1:15" s="9" customFormat="1" ht="15.75">
      <c r="A1340" s="340"/>
      <c r="B1340" s="321"/>
      <c r="C1340" s="321"/>
      <c r="D1340" s="321"/>
      <c r="E1340" s="321"/>
      <c r="F1340" s="321"/>
      <c r="G1340" s="321"/>
      <c r="H1340" s="321"/>
      <c r="I1340" s="321"/>
      <c r="J1340" s="321"/>
      <c r="K1340" s="321"/>
      <c r="L1340" s="321"/>
      <c r="M1340" s="321"/>
      <c r="N1340" s="147"/>
      <c r="O1340" s="322"/>
    </row>
    <row r="1341" spans="1:15" s="9" customFormat="1" ht="15.75">
      <c r="A1341" s="14" t="s">
        <v>813</v>
      </c>
      <c r="B1341" s="15"/>
      <c r="C1341" s="15"/>
      <c r="D1341" s="15"/>
      <c r="E1341" s="15"/>
      <c r="F1341" s="15"/>
      <c r="G1341" s="15"/>
      <c r="H1341" s="15"/>
      <c r="I1341" s="15"/>
      <c r="J1341" s="15"/>
      <c r="K1341" s="15"/>
      <c r="L1341" s="15"/>
      <c r="M1341" s="15"/>
      <c r="N1341" s="132"/>
      <c r="O1341" s="16"/>
    </row>
    <row r="1342" spans="1:15" s="9" customFormat="1" ht="15.75">
      <c r="A1342" s="60" t="s">
        <v>811</v>
      </c>
      <c r="B1342" s="15"/>
      <c r="C1342" s="15"/>
      <c r="D1342" s="15"/>
      <c r="E1342" s="15"/>
      <c r="F1342" s="15"/>
      <c r="G1342" s="15"/>
      <c r="H1342" s="15"/>
      <c r="I1342" s="15"/>
      <c r="J1342" s="15"/>
      <c r="K1342" s="15"/>
      <c r="L1342" s="15"/>
      <c r="M1342" s="15"/>
      <c r="N1342" s="132"/>
      <c r="O1342" s="16"/>
    </row>
    <row r="1343" spans="1:15" s="9" customFormat="1" ht="15.75">
      <c r="A1343" s="37" t="s">
        <v>18</v>
      </c>
      <c r="B1343" s="18">
        <v>0</v>
      </c>
      <c r="C1343" s="18">
        <v>0</v>
      </c>
      <c r="D1343" s="18">
        <v>0</v>
      </c>
      <c r="E1343" s="18">
        <v>0</v>
      </c>
      <c r="F1343" s="18">
        <v>0</v>
      </c>
      <c r="G1343" s="18">
        <v>0</v>
      </c>
      <c r="H1343" s="18">
        <v>0</v>
      </c>
      <c r="I1343" s="18">
        <v>0</v>
      </c>
      <c r="J1343" s="18">
        <v>0</v>
      </c>
      <c r="K1343" s="18">
        <v>0</v>
      </c>
      <c r="L1343" s="18">
        <v>0</v>
      </c>
      <c r="M1343" s="18">
        <v>0</v>
      </c>
      <c r="N1343" s="133">
        <f>SUM(B1343:M1343)</f>
        <v>0</v>
      </c>
      <c r="O1343" s="19">
        <f>IF(N1343=0,0,AVERAGE(B1343:M1343))</f>
        <v>0</v>
      </c>
    </row>
    <row r="1344" spans="1:15" s="9" customFormat="1" ht="15.75">
      <c r="A1344" s="37" t="s">
        <v>19</v>
      </c>
      <c r="B1344" s="18">
        <v>0</v>
      </c>
      <c r="C1344" s="18">
        <v>0</v>
      </c>
      <c r="D1344" s="18">
        <v>0</v>
      </c>
      <c r="E1344" s="18">
        <v>0</v>
      </c>
      <c r="F1344" s="18">
        <v>0</v>
      </c>
      <c r="G1344" s="18">
        <v>0</v>
      </c>
      <c r="H1344" s="18">
        <v>0</v>
      </c>
      <c r="I1344" s="18">
        <v>0</v>
      </c>
      <c r="J1344" s="18">
        <v>0</v>
      </c>
      <c r="K1344" s="18">
        <v>0</v>
      </c>
      <c r="L1344" s="18">
        <v>0</v>
      </c>
      <c r="M1344" s="18">
        <v>0</v>
      </c>
      <c r="N1344" s="133">
        <f>SUM(B1344:M1344)</f>
        <v>0</v>
      </c>
      <c r="O1344" s="19">
        <f>IF(N1344=0,0,AVERAGE(B1344:M1344))</f>
        <v>0</v>
      </c>
    </row>
    <row r="1345" spans="1:15" s="9" customFormat="1" ht="15.75">
      <c r="A1345" s="37" t="s">
        <v>20</v>
      </c>
      <c r="B1345" s="18">
        <v>0</v>
      </c>
      <c r="C1345" s="18">
        <v>0</v>
      </c>
      <c r="D1345" s="18">
        <v>0</v>
      </c>
      <c r="E1345" s="18">
        <v>0</v>
      </c>
      <c r="F1345" s="18">
        <v>0</v>
      </c>
      <c r="G1345" s="18">
        <v>0</v>
      </c>
      <c r="H1345" s="18">
        <v>0</v>
      </c>
      <c r="I1345" s="18">
        <v>0</v>
      </c>
      <c r="J1345" s="18">
        <v>0</v>
      </c>
      <c r="K1345" s="18">
        <v>0</v>
      </c>
      <c r="L1345" s="18">
        <v>0</v>
      </c>
      <c r="M1345" s="18">
        <v>0</v>
      </c>
      <c r="N1345" s="133">
        <f>SUM(B1345:M1345)</f>
        <v>0</v>
      </c>
      <c r="O1345" s="19">
        <f>IF(N1345=0,0,AVERAGE(B1345:M1345))</f>
        <v>0</v>
      </c>
    </row>
    <row r="1346" spans="1:15" s="9" customFormat="1" ht="15.75">
      <c r="A1346" s="56" t="s">
        <v>21</v>
      </c>
      <c r="B1346" s="21">
        <f t="shared" ref="B1346:C1346" si="1862">SUM(B1343:B1345)</f>
        <v>0</v>
      </c>
      <c r="C1346" s="21">
        <f t="shared" si="1862"/>
        <v>0</v>
      </c>
      <c r="D1346" s="21">
        <f t="shared" ref="D1346:E1346" si="1863">SUM(D1343:D1345)</f>
        <v>0</v>
      </c>
      <c r="E1346" s="21">
        <f t="shared" si="1863"/>
        <v>0</v>
      </c>
      <c r="F1346" s="21">
        <f t="shared" ref="F1346:G1346" si="1864">SUM(F1343:F1345)</f>
        <v>0</v>
      </c>
      <c r="G1346" s="21">
        <f t="shared" si="1864"/>
        <v>0</v>
      </c>
      <c r="H1346" s="21">
        <f t="shared" ref="H1346:I1346" si="1865">SUM(H1343:H1345)</f>
        <v>0</v>
      </c>
      <c r="I1346" s="21">
        <f t="shared" si="1865"/>
        <v>0</v>
      </c>
      <c r="J1346" s="21">
        <f t="shared" ref="J1346:K1346" si="1866">SUM(J1343:J1345)</f>
        <v>0</v>
      </c>
      <c r="K1346" s="21">
        <f t="shared" si="1866"/>
        <v>0</v>
      </c>
      <c r="L1346" s="21">
        <f t="shared" ref="L1346:M1346" si="1867">SUM(L1343:L1345)</f>
        <v>0</v>
      </c>
      <c r="M1346" s="21">
        <f t="shared" si="1867"/>
        <v>0</v>
      </c>
      <c r="N1346" s="128">
        <f>SUM(N1343:N1345)</f>
        <v>0</v>
      </c>
      <c r="O1346" s="22">
        <f>SUM(O1343:O1345)</f>
        <v>0</v>
      </c>
    </row>
    <row r="1347" spans="1:15" s="9" customFormat="1" ht="15.75">
      <c r="A1347" s="56" t="s">
        <v>112</v>
      </c>
      <c r="B1347" s="21" t="s">
        <v>44</v>
      </c>
      <c r="C1347" s="21" t="s">
        <v>44</v>
      </c>
      <c r="D1347" s="21" t="s">
        <v>44</v>
      </c>
      <c r="E1347" s="21" t="s">
        <v>44</v>
      </c>
      <c r="F1347" s="21" t="s">
        <v>44</v>
      </c>
      <c r="G1347" s="21" t="s">
        <v>44</v>
      </c>
      <c r="H1347" s="21" t="s">
        <v>44</v>
      </c>
      <c r="I1347" s="21" t="s">
        <v>44</v>
      </c>
      <c r="J1347" s="21" t="s">
        <v>44</v>
      </c>
      <c r="K1347" s="21" t="s">
        <v>44</v>
      </c>
      <c r="L1347" s="21" t="s">
        <v>44</v>
      </c>
      <c r="M1347" s="21" t="s">
        <v>44</v>
      </c>
      <c r="N1347" s="128">
        <f>SUM(B1347:M1347)</f>
        <v>0</v>
      </c>
      <c r="O1347" s="22">
        <f>IF(N1347=0,0,AVERAGE(B1347:M1347))</f>
        <v>0</v>
      </c>
    </row>
    <row r="1348" spans="1:15" s="9" customFormat="1" ht="15.75">
      <c r="A1348" s="94"/>
      <c r="B1348" s="24"/>
      <c r="C1348" s="24"/>
      <c r="D1348" s="24"/>
      <c r="E1348" s="24"/>
      <c r="F1348" s="24"/>
      <c r="G1348" s="24"/>
      <c r="H1348" s="24"/>
      <c r="I1348" s="24"/>
      <c r="J1348" s="24"/>
      <c r="K1348" s="25"/>
      <c r="L1348" s="25"/>
      <c r="M1348" s="25"/>
      <c r="N1348" s="134"/>
      <c r="O1348" s="95"/>
    </row>
    <row r="1349" spans="1:15" s="9" customFormat="1" ht="15.75">
      <c r="A1349" s="60" t="s">
        <v>812</v>
      </c>
      <c r="B1349" s="15"/>
      <c r="C1349" s="15"/>
      <c r="D1349" s="15"/>
      <c r="E1349" s="15"/>
      <c r="F1349" s="15"/>
      <c r="G1349" s="15"/>
      <c r="H1349" s="15"/>
      <c r="I1349" s="15"/>
      <c r="J1349" s="15"/>
      <c r="K1349" s="15"/>
      <c r="L1349" s="15"/>
      <c r="M1349" s="15"/>
      <c r="N1349" s="132"/>
      <c r="O1349" s="16"/>
    </row>
    <row r="1350" spans="1:15" s="9" customFormat="1" ht="15.75">
      <c r="A1350" s="97" t="s">
        <v>114</v>
      </c>
      <c r="B1350" s="99">
        <v>10</v>
      </c>
      <c r="C1350" s="99">
        <v>5</v>
      </c>
      <c r="D1350" s="99">
        <v>2</v>
      </c>
      <c r="E1350" s="99">
        <v>4</v>
      </c>
      <c r="F1350" s="99">
        <v>6</v>
      </c>
      <c r="G1350" s="99">
        <v>1</v>
      </c>
      <c r="H1350" s="99">
        <v>2</v>
      </c>
      <c r="I1350" s="99">
        <v>6</v>
      </c>
      <c r="J1350" s="99">
        <v>5</v>
      </c>
      <c r="K1350" s="99">
        <v>7</v>
      </c>
      <c r="L1350" s="99">
        <v>4</v>
      </c>
      <c r="M1350" s="99">
        <v>8</v>
      </c>
      <c r="N1350" s="133">
        <f>SUM(B1350:M1350)</f>
        <v>60</v>
      </c>
      <c r="O1350" s="19">
        <f>IF(N1350=0,0,AVERAGE(B1350:M1350))</f>
        <v>5</v>
      </c>
    </row>
    <row r="1351" spans="1:15" s="9" customFormat="1" ht="15.75">
      <c r="A1351" s="56" t="s">
        <v>21</v>
      </c>
      <c r="B1351" s="21">
        <f t="shared" ref="B1351:C1351" si="1868">SUM(B1350)</f>
        <v>10</v>
      </c>
      <c r="C1351" s="21">
        <f t="shared" si="1868"/>
        <v>5</v>
      </c>
      <c r="D1351" s="21">
        <f t="shared" ref="D1351:E1351" si="1869">SUM(D1350)</f>
        <v>2</v>
      </c>
      <c r="E1351" s="21">
        <f t="shared" si="1869"/>
        <v>4</v>
      </c>
      <c r="F1351" s="21">
        <f t="shared" ref="F1351:G1351" si="1870">SUM(F1350)</f>
        <v>6</v>
      </c>
      <c r="G1351" s="21">
        <f t="shared" si="1870"/>
        <v>1</v>
      </c>
      <c r="H1351" s="21">
        <f t="shared" ref="H1351:I1351" si="1871">SUM(H1350)</f>
        <v>2</v>
      </c>
      <c r="I1351" s="21">
        <f t="shared" si="1871"/>
        <v>6</v>
      </c>
      <c r="J1351" s="21">
        <f t="shared" ref="J1351:K1351" si="1872">SUM(J1350)</f>
        <v>5</v>
      </c>
      <c r="K1351" s="21">
        <f t="shared" si="1872"/>
        <v>7</v>
      </c>
      <c r="L1351" s="21">
        <f t="shared" ref="L1351:M1351" si="1873">SUM(L1350)</f>
        <v>4</v>
      </c>
      <c r="M1351" s="21">
        <f t="shared" si="1873"/>
        <v>8</v>
      </c>
      <c r="N1351" s="128">
        <f>SUM(N1350)</f>
        <v>60</v>
      </c>
      <c r="O1351" s="22">
        <f>SUM(O1350)</f>
        <v>5</v>
      </c>
    </row>
    <row r="1352" spans="1:15" s="9" customFormat="1" ht="15.75">
      <c r="A1352" s="56" t="s">
        <v>112</v>
      </c>
      <c r="B1352" s="22">
        <f t="shared" ref="B1352:G1352" si="1874">IF(B1351=0,"",B1351/B$1676)</f>
        <v>0.32258064516129031</v>
      </c>
      <c r="C1352" s="22">
        <f t="shared" si="1874"/>
        <v>0.17857142857142858</v>
      </c>
      <c r="D1352" s="22">
        <f t="shared" si="1874"/>
        <v>6.4516129032258063E-2</v>
      </c>
      <c r="E1352" s="22">
        <f t="shared" si="1874"/>
        <v>0.13333333333333333</v>
      </c>
      <c r="F1352" s="22">
        <f t="shared" si="1874"/>
        <v>0.19354838709677419</v>
      </c>
      <c r="G1352" s="22">
        <f t="shared" si="1874"/>
        <v>3.3333333333333333E-2</v>
      </c>
      <c r="H1352" s="22">
        <f t="shared" ref="H1352:I1352" si="1875">IF(H1351=0,"",H1351/H$1676)</f>
        <v>6.4516129032258063E-2</v>
      </c>
      <c r="I1352" s="22">
        <f t="shared" si="1875"/>
        <v>0.19354838709677419</v>
      </c>
      <c r="J1352" s="22">
        <f t="shared" ref="J1352:K1352" si="1876">IF(J1351=0,"",J1351/J$1676)</f>
        <v>0.16666666666666666</v>
      </c>
      <c r="K1352" s="22">
        <f t="shared" si="1876"/>
        <v>0.22580645161290322</v>
      </c>
      <c r="L1352" s="22">
        <f t="shared" ref="L1352:M1352" si="1877">IF(L1351=0,"",L1351/L$1676)</f>
        <v>0.13333333333333333</v>
      </c>
      <c r="M1352" s="22">
        <f t="shared" si="1877"/>
        <v>0.25806451612903225</v>
      </c>
      <c r="N1352" s="128">
        <f>SUM(B1352:M1352)</f>
        <v>1.9678187403993856</v>
      </c>
      <c r="O1352" s="22">
        <f>IF(N1352=0,0,AVERAGE(B1352:M1352))</f>
        <v>0.16398489503328215</v>
      </c>
    </row>
    <row r="1353" spans="1:15" s="9" customFormat="1" ht="15.75">
      <c r="A1353" s="94"/>
      <c r="B1353" s="24"/>
      <c r="C1353" s="24"/>
      <c r="D1353" s="24"/>
      <c r="E1353" s="24"/>
      <c r="F1353" s="24"/>
      <c r="G1353" s="24"/>
      <c r="H1353" s="24"/>
      <c r="I1353" s="24"/>
      <c r="J1353" s="24"/>
      <c r="K1353" s="24"/>
      <c r="L1353" s="24"/>
      <c r="M1353" s="24"/>
      <c r="N1353" s="134"/>
      <c r="O1353" s="54"/>
    </row>
    <row r="1354" spans="1:15" s="9" customFormat="1" ht="15.75">
      <c r="A1354" s="85" t="s">
        <v>153</v>
      </c>
      <c r="B1354" s="86">
        <f t="shared" ref="B1354:C1354" si="1878">B1346</f>
        <v>0</v>
      </c>
      <c r="C1354" s="86">
        <f t="shared" si="1878"/>
        <v>0</v>
      </c>
      <c r="D1354" s="86">
        <f t="shared" ref="D1354:E1354" si="1879">D1346</f>
        <v>0</v>
      </c>
      <c r="E1354" s="86">
        <f t="shared" si="1879"/>
        <v>0</v>
      </c>
      <c r="F1354" s="86">
        <f t="shared" ref="F1354:G1354" si="1880">F1346</f>
        <v>0</v>
      </c>
      <c r="G1354" s="86">
        <f t="shared" si="1880"/>
        <v>0</v>
      </c>
      <c r="H1354" s="86">
        <f t="shared" ref="H1354:I1354" si="1881">H1346</f>
        <v>0</v>
      </c>
      <c r="I1354" s="86">
        <f t="shared" si="1881"/>
        <v>0</v>
      </c>
      <c r="J1354" s="86">
        <f t="shared" ref="J1354:K1354" si="1882">J1346</f>
        <v>0</v>
      </c>
      <c r="K1354" s="86">
        <f t="shared" si="1882"/>
        <v>0</v>
      </c>
      <c r="L1354" s="86">
        <f t="shared" ref="L1354:M1354" si="1883">L1346</f>
        <v>0</v>
      </c>
      <c r="M1354" s="86">
        <f t="shared" si="1883"/>
        <v>0</v>
      </c>
      <c r="N1354" s="133">
        <f>SUM(B1354:M1354)</f>
        <v>0</v>
      </c>
      <c r="O1354" s="19">
        <f>IF(N1354=0,0,AVERAGE(B1354:M1354))</f>
        <v>0</v>
      </c>
    </row>
    <row r="1355" spans="1:15" s="9" customFormat="1" ht="15.75">
      <c r="A1355" s="85" t="s">
        <v>154</v>
      </c>
      <c r="B1355" s="86">
        <f t="shared" ref="B1355:C1355" si="1884">B1351</f>
        <v>10</v>
      </c>
      <c r="C1355" s="86">
        <f t="shared" si="1884"/>
        <v>5</v>
      </c>
      <c r="D1355" s="86">
        <f t="shared" ref="D1355:E1355" si="1885">D1351</f>
        <v>2</v>
      </c>
      <c r="E1355" s="86">
        <f t="shared" si="1885"/>
        <v>4</v>
      </c>
      <c r="F1355" s="86">
        <f t="shared" ref="F1355:G1355" si="1886">F1351</f>
        <v>6</v>
      </c>
      <c r="G1355" s="86">
        <f t="shared" si="1886"/>
        <v>1</v>
      </c>
      <c r="H1355" s="86">
        <f t="shared" ref="H1355:I1355" si="1887">H1351</f>
        <v>2</v>
      </c>
      <c r="I1355" s="86">
        <f t="shared" si="1887"/>
        <v>6</v>
      </c>
      <c r="J1355" s="86">
        <f t="shared" ref="J1355:K1355" si="1888">J1351</f>
        <v>5</v>
      </c>
      <c r="K1355" s="86">
        <f t="shared" si="1888"/>
        <v>7</v>
      </c>
      <c r="L1355" s="86">
        <f t="shared" ref="L1355:M1355" si="1889">L1351</f>
        <v>4</v>
      </c>
      <c r="M1355" s="86">
        <f t="shared" si="1889"/>
        <v>8</v>
      </c>
      <c r="N1355" s="133">
        <f>SUM(B1355:M1355)</f>
        <v>60</v>
      </c>
      <c r="O1355" s="19">
        <f>IF(N1355=0,0,AVERAGE(B1355:M1355))</f>
        <v>5</v>
      </c>
    </row>
    <row r="1356" spans="1:15" s="9" customFormat="1" ht="15.75">
      <c r="A1356" s="342" t="s">
        <v>155</v>
      </c>
      <c r="B1356" s="333">
        <f t="shared" ref="B1356:C1356" si="1890">SUM(B1354:B1355)</f>
        <v>10</v>
      </c>
      <c r="C1356" s="333">
        <f t="shared" si="1890"/>
        <v>5</v>
      </c>
      <c r="D1356" s="333">
        <f t="shared" ref="D1356:E1356" si="1891">SUM(D1354:D1355)</f>
        <v>2</v>
      </c>
      <c r="E1356" s="333">
        <f t="shared" si="1891"/>
        <v>4</v>
      </c>
      <c r="F1356" s="333">
        <f t="shared" ref="F1356:G1356" si="1892">SUM(F1354:F1355)</f>
        <v>6</v>
      </c>
      <c r="G1356" s="333">
        <f t="shared" si="1892"/>
        <v>1</v>
      </c>
      <c r="H1356" s="333">
        <f t="shared" ref="H1356:I1356" si="1893">SUM(H1354:H1355)</f>
        <v>2</v>
      </c>
      <c r="I1356" s="333">
        <f t="shared" si="1893"/>
        <v>6</v>
      </c>
      <c r="J1356" s="333">
        <f t="shared" ref="J1356:K1356" si="1894">SUM(J1354:J1355)</f>
        <v>5</v>
      </c>
      <c r="K1356" s="333">
        <f t="shared" si="1894"/>
        <v>7</v>
      </c>
      <c r="L1356" s="333">
        <f t="shared" ref="L1356:M1356" si="1895">SUM(L1354:L1355)</f>
        <v>4</v>
      </c>
      <c r="M1356" s="333">
        <f t="shared" si="1895"/>
        <v>8</v>
      </c>
      <c r="N1356" s="334">
        <f>SUM(N1354:N1355)</f>
        <v>60</v>
      </c>
      <c r="O1356" s="335">
        <f>SUM(O1354:O1355)</f>
        <v>5</v>
      </c>
    </row>
    <row r="1357" spans="1:15" s="9" customFormat="1" ht="15.75">
      <c r="A1357" s="341"/>
      <c r="B1357" s="321"/>
      <c r="C1357" s="321"/>
      <c r="D1357" s="321"/>
      <c r="E1357" s="321"/>
      <c r="F1357" s="321"/>
      <c r="G1357" s="321"/>
      <c r="H1357" s="321"/>
      <c r="I1357" s="321"/>
      <c r="J1357" s="321"/>
      <c r="K1357" s="321"/>
      <c r="L1357" s="321"/>
      <c r="M1357" s="321"/>
      <c r="N1357" s="147"/>
      <c r="O1357" s="322"/>
    </row>
    <row r="1358" spans="1:15" s="9" customFormat="1" ht="15.75">
      <c r="A1358" s="14" t="s">
        <v>798</v>
      </c>
      <c r="B1358" s="27"/>
      <c r="C1358" s="27"/>
      <c r="D1358" s="27"/>
      <c r="E1358" s="27"/>
      <c r="F1358" s="27"/>
      <c r="G1358" s="27"/>
      <c r="H1358" s="27"/>
      <c r="I1358" s="27"/>
      <c r="J1358" s="27"/>
      <c r="K1358" s="27"/>
      <c r="L1358" s="27"/>
      <c r="M1358" s="27"/>
      <c r="N1358" s="135"/>
      <c r="O1358" s="28"/>
    </row>
    <row r="1359" spans="1:15" s="9" customFormat="1" ht="15.75">
      <c r="A1359" s="60" t="s">
        <v>799</v>
      </c>
      <c r="B1359" s="75"/>
      <c r="C1359" s="75"/>
      <c r="D1359" s="75"/>
      <c r="E1359" s="75"/>
      <c r="F1359" s="75"/>
      <c r="G1359" s="75"/>
      <c r="H1359" s="75"/>
      <c r="I1359" s="75"/>
      <c r="J1359" s="75"/>
      <c r="K1359" s="75"/>
      <c r="L1359" s="75"/>
      <c r="M1359" s="75"/>
      <c r="N1359" s="146"/>
      <c r="O1359" s="76"/>
    </row>
    <row r="1360" spans="1:15" s="9" customFormat="1" ht="15.75">
      <c r="A1360" s="37" t="s">
        <v>144</v>
      </c>
      <c r="B1360" s="18">
        <f t="shared" ref="B1360:G1360" si="1896">B1381+B1402</f>
        <v>276</v>
      </c>
      <c r="C1360" s="18">
        <f t="shared" si="1896"/>
        <v>427</v>
      </c>
      <c r="D1360" s="18">
        <f t="shared" si="1896"/>
        <v>295</v>
      </c>
      <c r="E1360" s="18">
        <f t="shared" si="1896"/>
        <v>103</v>
      </c>
      <c r="F1360" s="18">
        <f t="shared" si="1896"/>
        <v>164</v>
      </c>
      <c r="G1360" s="18">
        <f t="shared" si="1896"/>
        <v>331</v>
      </c>
      <c r="H1360" s="18">
        <f t="shared" ref="H1360:I1360" si="1897">H1381+H1402</f>
        <v>294</v>
      </c>
      <c r="I1360" s="18">
        <f t="shared" si="1897"/>
        <v>413</v>
      </c>
      <c r="J1360" s="18">
        <f t="shared" ref="J1360:K1360" si="1898">J1381+J1402</f>
        <v>339</v>
      </c>
      <c r="K1360" s="18">
        <f t="shared" si="1898"/>
        <v>373</v>
      </c>
      <c r="L1360" s="18">
        <f t="shared" ref="L1360:M1360" si="1899">L1381+L1402</f>
        <v>309</v>
      </c>
      <c r="M1360" s="18">
        <f t="shared" si="1899"/>
        <v>324</v>
      </c>
      <c r="N1360" s="133">
        <f>SUM(B1360:M1360)</f>
        <v>3648</v>
      </c>
      <c r="O1360" s="19">
        <f>AVERAGE(B1360:M1360)</f>
        <v>304</v>
      </c>
    </row>
    <row r="1361" spans="1:26" s="9" customFormat="1" ht="15.75">
      <c r="A1361" s="37" t="s">
        <v>632</v>
      </c>
      <c r="B1361" s="18">
        <f t="shared" ref="B1361:C1376" si="1900">B1382+B1403</f>
        <v>1</v>
      </c>
      <c r="C1361" s="18">
        <f t="shared" si="1900"/>
        <v>1</v>
      </c>
      <c r="D1361" s="18">
        <f t="shared" ref="D1361:E1361" si="1901">D1382+D1403</f>
        <v>0</v>
      </c>
      <c r="E1361" s="18">
        <f t="shared" si="1901"/>
        <v>0</v>
      </c>
      <c r="F1361" s="18">
        <f t="shared" ref="F1361:G1361" si="1902">F1382+F1403</f>
        <v>0</v>
      </c>
      <c r="G1361" s="18">
        <f t="shared" si="1902"/>
        <v>1</v>
      </c>
      <c r="H1361" s="18">
        <f t="shared" ref="H1361:I1361" si="1903">H1382+H1403</f>
        <v>0</v>
      </c>
      <c r="I1361" s="18">
        <f t="shared" si="1903"/>
        <v>1</v>
      </c>
      <c r="J1361" s="18">
        <f t="shared" ref="J1361:K1361" si="1904">J1382+J1403</f>
        <v>1</v>
      </c>
      <c r="K1361" s="18">
        <f t="shared" si="1904"/>
        <v>0</v>
      </c>
      <c r="L1361" s="18">
        <f t="shared" ref="L1361:M1361" si="1905">L1382+L1403</f>
        <v>1</v>
      </c>
      <c r="M1361" s="18">
        <f t="shared" si="1905"/>
        <v>1</v>
      </c>
      <c r="N1361" s="133">
        <f>SUM(B1361:M1361)</f>
        <v>7</v>
      </c>
      <c r="O1361" s="19">
        <f>AVERAGE(B1361:M1361)</f>
        <v>0.58333333333333337</v>
      </c>
    </row>
    <row r="1362" spans="1:26" s="9" customFormat="1" ht="15.75">
      <c r="A1362" s="37" t="s">
        <v>562</v>
      </c>
      <c r="B1362" s="18">
        <f t="shared" si="1900"/>
        <v>71</v>
      </c>
      <c r="C1362" s="18">
        <f t="shared" si="1900"/>
        <v>77</v>
      </c>
      <c r="D1362" s="18">
        <f t="shared" ref="D1362:E1362" si="1906">D1383+D1404</f>
        <v>76</v>
      </c>
      <c r="E1362" s="18">
        <f t="shared" si="1906"/>
        <v>70</v>
      </c>
      <c r="F1362" s="18">
        <f t="shared" ref="F1362:G1362" si="1907">F1383+F1404</f>
        <v>77</v>
      </c>
      <c r="G1362" s="18">
        <f t="shared" si="1907"/>
        <v>84</v>
      </c>
      <c r="H1362" s="18">
        <f t="shared" ref="H1362:I1362" si="1908">H1383+H1404</f>
        <v>74</v>
      </c>
      <c r="I1362" s="18">
        <f t="shared" si="1908"/>
        <v>85</v>
      </c>
      <c r="J1362" s="18">
        <f t="shared" ref="J1362:K1362" si="1909">J1383+J1404</f>
        <v>87</v>
      </c>
      <c r="K1362" s="18">
        <f t="shared" si="1909"/>
        <v>81</v>
      </c>
      <c r="L1362" s="18">
        <f t="shared" ref="L1362:M1362" si="1910">L1383+L1404</f>
        <v>86</v>
      </c>
      <c r="M1362" s="18">
        <f t="shared" si="1910"/>
        <v>93</v>
      </c>
      <c r="N1362" s="133">
        <f>SUM(B1362:M1362)</f>
        <v>961</v>
      </c>
      <c r="O1362" s="19">
        <f>AVERAGE(B1362:M1362)</f>
        <v>80.083333333333329</v>
      </c>
    </row>
    <row r="1363" spans="1:26" s="9" customFormat="1" ht="15.75">
      <c r="A1363" s="37" t="s">
        <v>297</v>
      </c>
      <c r="B1363" s="18">
        <f t="shared" si="1900"/>
        <v>1</v>
      </c>
      <c r="C1363" s="18">
        <f t="shared" si="1900"/>
        <v>0</v>
      </c>
      <c r="D1363" s="18">
        <f t="shared" ref="D1363:E1363" si="1911">D1384+D1405</f>
        <v>1</v>
      </c>
      <c r="E1363" s="18">
        <f t="shared" si="1911"/>
        <v>2</v>
      </c>
      <c r="F1363" s="18">
        <f t="shared" ref="F1363:G1363" si="1912">F1384+F1405</f>
        <v>3</v>
      </c>
      <c r="G1363" s="18">
        <f t="shared" si="1912"/>
        <v>2</v>
      </c>
      <c r="H1363" s="18">
        <f t="shared" ref="H1363:I1363" si="1913">H1384+H1405</f>
        <v>3</v>
      </c>
      <c r="I1363" s="18">
        <f t="shared" si="1913"/>
        <v>2</v>
      </c>
      <c r="J1363" s="18">
        <f t="shared" ref="J1363:K1363" si="1914">J1384+J1405</f>
        <v>4</v>
      </c>
      <c r="K1363" s="18">
        <f t="shared" si="1914"/>
        <v>0</v>
      </c>
      <c r="L1363" s="18">
        <f t="shared" ref="L1363:M1363" si="1915">L1384+L1405</f>
        <v>1</v>
      </c>
      <c r="M1363" s="18">
        <f t="shared" si="1915"/>
        <v>4</v>
      </c>
      <c r="N1363" s="133">
        <f t="shared" ref="N1363" si="1916">SUM(B1363:M1363)</f>
        <v>23</v>
      </c>
      <c r="O1363" s="19">
        <f t="shared" ref="O1363" si="1917">AVERAGE(B1363:M1363)</f>
        <v>1.9166666666666667</v>
      </c>
    </row>
    <row r="1364" spans="1:26" s="9" customFormat="1" ht="15.75">
      <c r="A1364" s="37" t="s">
        <v>815</v>
      </c>
      <c r="B1364" s="18">
        <f t="shared" si="1900"/>
        <v>92</v>
      </c>
      <c r="C1364" s="18">
        <f t="shared" si="1900"/>
        <v>113</v>
      </c>
      <c r="D1364" s="18">
        <f t="shared" ref="D1364:E1364" si="1918">D1385+D1406</f>
        <v>52</v>
      </c>
      <c r="E1364" s="18">
        <f t="shared" si="1918"/>
        <v>4</v>
      </c>
      <c r="F1364" s="18">
        <f t="shared" ref="F1364:G1364" si="1919">F1385+F1406</f>
        <v>72</v>
      </c>
      <c r="G1364" s="18">
        <f t="shared" si="1919"/>
        <v>127</v>
      </c>
      <c r="H1364" s="18">
        <f t="shared" ref="H1364:I1364" si="1920">H1385+H1406</f>
        <v>135</v>
      </c>
      <c r="I1364" s="18">
        <f t="shared" si="1920"/>
        <v>129</v>
      </c>
      <c r="J1364" s="18">
        <f t="shared" ref="J1364:K1364" si="1921">J1385+J1406</f>
        <v>107</v>
      </c>
      <c r="K1364" s="18">
        <f t="shared" si="1921"/>
        <v>62</v>
      </c>
      <c r="L1364" s="18">
        <f t="shared" ref="L1364:M1364" si="1922">L1385+L1406</f>
        <v>110</v>
      </c>
      <c r="M1364" s="18">
        <f t="shared" si="1922"/>
        <v>119</v>
      </c>
      <c r="N1364" s="133">
        <f t="shared" ref="N1364:N1375" si="1923">SUM(B1364:M1364)</f>
        <v>1122</v>
      </c>
      <c r="O1364" s="19">
        <f t="shared" ref="O1364:O1375" si="1924">AVERAGE(B1364:M1364)</f>
        <v>93.5</v>
      </c>
    </row>
    <row r="1365" spans="1:26" s="9" customFormat="1" ht="15.75">
      <c r="A1365" s="37" t="s">
        <v>299</v>
      </c>
      <c r="B1365" s="18">
        <f t="shared" si="1900"/>
        <v>11</v>
      </c>
      <c r="C1365" s="18">
        <f t="shared" si="1900"/>
        <v>14</v>
      </c>
      <c r="D1365" s="18">
        <f t="shared" ref="D1365:E1365" si="1925">D1386+D1407</f>
        <v>10</v>
      </c>
      <c r="E1365" s="18">
        <f t="shared" si="1925"/>
        <v>4</v>
      </c>
      <c r="F1365" s="18">
        <f t="shared" ref="F1365:G1365" si="1926">F1386+F1407</f>
        <v>11</v>
      </c>
      <c r="G1365" s="18">
        <f t="shared" si="1926"/>
        <v>11</v>
      </c>
      <c r="H1365" s="18">
        <f t="shared" ref="H1365:I1365" si="1927">H1386+H1407</f>
        <v>7</v>
      </c>
      <c r="I1365" s="18">
        <f t="shared" si="1927"/>
        <v>16</v>
      </c>
      <c r="J1365" s="18">
        <f t="shared" ref="J1365:K1365" si="1928">J1386+J1407</f>
        <v>10</v>
      </c>
      <c r="K1365" s="18">
        <f t="shared" si="1928"/>
        <v>14</v>
      </c>
      <c r="L1365" s="18">
        <f t="shared" ref="L1365:M1365" si="1929">L1386+L1407</f>
        <v>19</v>
      </c>
      <c r="M1365" s="18">
        <f t="shared" si="1929"/>
        <v>18</v>
      </c>
      <c r="N1365" s="133">
        <f t="shared" si="1923"/>
        <v>145</v>
      </c>
      <c r="O1365" s="19">
        <f t="shared" si="1924"/>
        <v>12.083333333333334</v>
      </c>
    </row>
    <row r="1366" spans="1:26" s="9" customFormat="1" ht="15.75">
      <c r="A1366" s="37" t="s">
        <v>185</v>
      </c>
      <c r="B1366" s="18">
        <f t="shared" si="1900"/>
        <v>297</v>
      </c>
      <c r="C1366" s="18">
        <f t="shared" si="1900"/>
        <v>395</v>
      </c>
      <c r="D1366" s="18">
        <f t="shared" ref="D1366:E1366" si="1930">D1387+D1408</f>
        <v>168</v>
      </c>
      <c r="E1366" s="18">
        <f t="shared" si="1930"/>
        <v>91</v>
      </c>
      <c r="F1366" s="18">
        <f t="shared" ref="F1366:G1366" si="1931">F1387+F1408</f>
        <v>212</v>
      </c>
      <c r="G1366" s="18">
        <f t="shared" si="1931"/>
        <v>202</v>
      </c>
      <c r="H1366" s="18">
        <f t="shared" ref="H1366:I1366" si="1932">H1387+H1408</f>
        <v>394</v>
      </c>
      <c r="I1366" s="18">
        <f t="shared" si="1932"/>
        <v>359</v>
      </c>
      <c r="J1366" s="18">
        <f t="shared" ref="J1366:K1366" si="1933">J1387+J1408</f>
        <v>399</v>
      </c>
      <c r="K1366" s="18">
        <f t="shared" si="1933"/>
        <v>358</v>
      </c>
      <c r="L1366" s="18">
        <f t="shared" ref="L1366:M1366" si="1934">L1387+L1408</f>
        <v>348</v>
      </c>
      <c r="M1366" s="18">
        <f t="shared" si="1934"/>
        <v>407</v>
      </c>
      <c r="N1366" s="133">
        <f t="shared" si="1923"/>
        <v>3630</v>
      </c>
      <c r="O1366" s="19">
        <f t="shared" si="1924"/>
        <v>302.5</v>
      </c>
    </row>
    <row r="1367" spans="1:26" s="9" customFormat="1" ht="15.75">
      <c r="A1367" s="34" t="s">
        <v>30</v>
      </c>
      <c r="B1367" s="18">
        <f t="shared" si="1900"/>
        <v>382</v>
      </c>
      <c r="C1367" s="18">
        <f t="shared" si="1900"/>
        <v>385</v>
      </c>
      <c r="D1367" s="18">
        <f t="shared" ref="D1367:E1367" si="1935">D1388+D1409</f>
        <v>241</v>
      </c>
      <c r="E1367" s="18">
        <f t="shared" si="1935"/>
        <v>5</v>
      </c>
      <c r="F1367" s="18">
        <f t="shared" ref="F1367:G1367" si="1936">F1388+F1409</f>
        <v>108</v>
      </c>
      <c r="G1367" s="18">
        <f t="shared" si="1936"/>
        <v>222</v>
      </c>
      <c r="H1367" s="18">
        <f t="shared" ref="H1367:I1367" si="1937">H1388+H1409</f>
        <v>378</v>
      </c>
      <c r="I1367" s="18">
        <f t="shared" si="1937"/>
        <v>364</v>
      </c>
      <c r="J1367" s="18">
        <f t="shared" ref="J1367:K1367" si="1938">J1388+J1409</f>
        <v>300</v>
      </c>
      <c r="K1367" s="18">
        <f t="shared" si="1938"/>
        <v>257</v>
      </c>
      <c r="L1367" s="18">
        <f t="shared" ref="L1367:M1367" si="1939">L1388+L1409</f>
        <v>257</v>
      </c>
      <c r="M1367" s="18">
        <f t="shared" si="1939"/>
        <v>243</v>
      </c>
      <c r="N1367" s="133">
        <f t="shared" si="1923"/>
        <v>3142</v>
      </c>
      <c r="O1367" s="19">
        <f t="shared" si="1924"/>
        <v>261.83333333333331</v>
      </c>
    </row>
    <row r="1368" spans="1:26" s="9" customFormat="1" ht="15.75">
      <c r="A1368" s="37" t="s">
        <v>300</v>
      </c>
      <c r="B1368" s="18">
        <f t="shared" si="1900"/>
        <v>30</v>
      </c>
      <c r="C1368" s="18">
        <f t="shared" si="1900"/>
        <v>30</v>
      </c>
      <c r="D1368" s="18">
        <f t="shared" ref="D1368:E1368" si="1940">D1389+D1410</f>
        <v>39</v>
      </c>
      <c r="E1368" s="18">
        <f t="shared" si="1940"/>
        <v>21</v>
      </c>
      <c r="F1368" s="18">
        <f t="shared" ref="F1368:G1368" si="1941">F1389+F1410</f>
        <v>31</v>
      </c>
      <c r="G1368" s="18">
        <f t="shared" si="1941"/>
        <v>31</v>
      </c>
      <c r="H1368" s="18">
        <f t="shared" ref="H1368:I1368" si="1942">H1389+H1410</f>
        <v>28</v>
      </c>
      <c r="I1368" s="18">
        <f t="shared" si="1942"/>
        <v>28</v>
      </c>
      <c r="J1368" s="18">
        <f t="shared" ref="J1368:K1368" si="1943">J1389+J1410</f>
        <v>30</v>
      </c>
      <c r="K1368" s="18">
        <f t="shared" si="1943"/>
        <v>30</v>
      </c>
      <c r="L1368" s="18">
        <f t="shared" ref="L1368:M1368" si="1944">L1389+L1410</f>
        <v>25</v>
      </c>
      <c r="M1368" s="18">
        <f t="shared" si="1944"/>
        <v>30</v>
      </c>
      <c r="N1368" s="133">
        <f t="shared" si="1923"/>
        <v>353</v>
      </c>
      <c r="O1368" s="19">
        <f t="shared" si="1924"/>
        <v>29.416666666666668</v>
      </c>
    </row>
    <row r="1369" spans="1:26" s="9" customFormat="1" ht="15.75">
      <c r="A1369" s="64" t="s">
        <v>362</v>
      </c>
      <c r="B1369" s="18">
        <f t="shared" si="1900"/>
        <v>21602</v>
      </c>
      <c r="C1369" s="18">
        <f t="shared" si="1900"/>
        <v>23051</v>
      </c>
      <c r="D1369" s="18">
        <f t="shared" ref="D1369:E1369" si="1945">D1390+D1411</f>
        <v>23048</v>
      </c>
      <c r="E1369" s="18">
        <f t="shared" si="1945"/>
        <v>24135</v>
      </c>
      <c r="F1369" s="18">
        <f t="shared" ref="F1369:G1369" si="1946">F1390+F1411</f>
        <v>24884</v>
      </c>
      <c r="G1369" s="18">
        <f t="shared" si="1946"/>
        <v>25017</v>
      </c>
      <c r="H1369" s="18">
        <f t="shared" ref="H1369:I1369" si="1947">H1390+H1411</f>
        <v>27373</v>
      </c>
      <c r="I1369" s="18">
        <f t="shared" si="1947"/>
        <v>39096</v>
      </c>
      <c r="J1369" s="18">
        <f t="shared" ref="J1369:K1369" si="1948">J1390+J1411</f>
        <v>31098</v>
      </c>
      <c r="K1369" s="18">
        <f t="shared" si="1948"/>
        <v>30588</v>
      </c>
      <c r="L1369" s="18">
        <f t="shared" ref="L1369:M1369" si="1949">L1390+L1411</f>
        <v>32892</v>
      </c>
      <c r="M1369" s="18">
        <f t="shared" si="1949"/>
        <v>32665</v>
      </c>
      <c r="N1369" s="143">
        <f t="shared" si="1923"/>
        <v>335449</v>
      </c>
      <c r="O1369" s="66">
        <f t="shared" si="1924"/>
        <v>27954.083333333332</v>
      </c>
    </row>
    <row r="1370" spans="1:26" s="9" customFormat="1" ht="15.75">
      <c r="A1370" s="41" t="s">
        <v>296</v>
      </c>
      <c r="B1370" s="18">
        <f t="shared" si="1900"/>
        <v>22</v>
      </c>
      <c r="C1370" s="18">
        <f t="shared" si="1900"/>
        <v>20</v>
      </c>
      <c r="D1370" s="18">
        <f t="shared" ref="D1370:E1370" si="1950">D1391+D1412</f>
        <v>12</v>
      </c>
      <c r="E1370" s="18">
        <f t="shared" si="1950"/>
        <v>11</v>
      </c>
      <c r="F1370" s="18">
        <f t="shared" ref="F1370:G1370" si="1951">F1391+F1412</f>
        <v>14</v>
      </c>
      <c r="G1370" s="18">
        <f t="shared" si="1951"/>
        <v>18</v>
      </c>
      <c r="H1370" s="18">
        <f t="shared" ref="H1370:I1370" si="1952">H1391+H1412</f>
        <v>18</v>
      </c>
      <c r="I1370" s="18">
        <f t="shared" si="1952"/>
        <v>20</v>
      </c>
      <c r="J1370" s="18">
        <f t="shared" ref="J1370:K1370" si="1953">J1391+J1412</f>
        <v>15</v>
      </c>
      <c r="K1370" s="18">
        <f t="shared" si="1953"/>
        <v>17</v>
      </c>
      <c r="L1370" s="18">
        <f t="shared" ref="L1370:M1370" si="1954">L1391+L1412</f>
        <v>17</v>
      </c>
      <c r="M1370" s="18">
        <f t="shared" si="1954"/>
        <v>24</v>
      </c>
      <c r="N1370" s="138">
        <f t="shared" si="1923"/>
        <v>208</v>
      </c>
      <c r="O1370" s="42">
        <f t="shared" si="1924"/>
        <v>17.333333333333332</v>
      </c>
    </row>
    <row r="1371" spans="1:26" s="9" customFormat="1" ht="15.75">
      <c r="A1371" s="37" t="s">
        <v>291</v>
      </c>
      <c r="B1371" s="18">
        <f t="shared" si="1900"/>
        <v>78</v>
      </c>
      <c r="C1371" s="18">
        <f t="shared" si="1900"/>
        <v>96</v>
      </c>
      <c r="D1371" s="18">
        <f t="shared" ref="D1371:E1371" si="1955">D1392+D1413</f>
        <v>71</v>
      </c>
      <c r="E1371" s="18">
        <f t="shared" si="1955"/>
        <v>73</v>
      </c>
      <c r="F1371" s="18">
        <f t="shared" ref="F1371:G1371" si="1956">F1392+F1413</f>
        <v>119</v>
      </c>
      <c r="G1371" s="18">
        <f t="shared" si="1956"/>
        <v>82</v>
      </c>
      <c r="H1371" s="18">
        <f t="shared" ref="H1371:I1371" si="1957">H1392+H1413</f>
        <v>99</v>
      </c>
      <c r="I1371" s="18">
        <f t="shared" si="1957"/>
        <v>110</v>
      </c>
      <c r="J1371" s="18">
        <f t="shared" ref="J1371:K1371" si="1958">J1392+J1413</f>
        <v>116</v>
      </c>
      <c r="K1371" s="18">
        <f t="shared" si="1958"/>
        <v>80</v>
      </c>
      <c r="L1371" s="18">
        <f t="shared" ref="L1371:M1371" si="1959">L1392+L1413</f>
        <v>82</v>
      </c>
      <c r="M1371" s="18">
        <f t="shared" si="1959"/>
        <v>61</v>
      </c>
      <c r="N1371" s="133">
        <f t="shared" si="1923"/>
        <v>1067</v>
      </c>
      <c r="O1371" s="19">
        <f t="shared" si="1924"/>
        <v>88.916666666666671</v>
      </c>
    </row>
    <row r="1372" spans="1:26" s="9" customFormat="1" ht="15.75">
      <c r="A1372" s="37" t="s">
        <v>182</v>
      </c>
      <c r="B1372" s="18">
        <f t="shared" si="1900"/>
        <v>453</v>
      </c>
      <c r="C1372" s="18">
        <f t="shared" si="1900"/>
        <v>729</v>
      </c>
      <c r="D1372" s="18">
        <f t="shared" ref="D1372:E1372" si="1960">D1393+D1414</f>
        <v>577</v>
      </c>
      <c r="E1372" s="18">
        <f t="shared" si="1960"/>
        <v>519</v>
      </c>
      <c r="F1372" s="18">
        <f t="shared" ref="F1372:G1372" si="1961">F1393+F1414</f>
        <v>762</v>
      </c>
      <c r="G1372" s="18">
        <f t="shared" si="1961"/>
        <v>756</v>
      </c>
      <c r="H1372" s="18">
        <f t="shared" ref="H1372:I1372" si="1962">H1393+H1414</f>
        <v>839</v>
      </c>
      <c r="I1372" s="18">
        <f t="shared" si="1962"/>
        <v>742</v>
      </c>
      <c r="J1372" s="18">
        <f t="shared" ref="J1372:K1372" si="1963">J1393+J1414</f>
        <v>741</v>
      </c>
      <c r="K1372" s="18">
        <f t="shared" si="1963"/>
        <v>867</v>
      </c>
      <c r="L1372" s="18">
        <f t="shared" ref="L1372:M1372" si="1964">L1393+L1414</f>
        <v>639</v>
      </c>
      <c r="M1372" s="18">
        <f t="shared" si="1964"/>
        <v>961</v>
      </c>
      <c r="N1372" s="133">
        <f t="shared" si="1923"/>
        <v>8585</v>
      </c>
      <c r="O1372" s="19">
        <f t="shared" si="1924"/>
        <v>715.41666666666663</v>
      </c>
    </row>
    <row r="1373" spans="1:26" s="9" customFormat="1" ht="15.75">
      <c r="A1373" s="37" t="s">
        <v>292</v>
      </c>
      <c r="B1373" s="18">
        <f t="shared" si="1900"/>
        <v>50</v>
      </c>
      <c r="C1373" s="18">
        <f t="shared" si="1900"/>
        <v>57</v>
      </c>
      <c r="D1373" s="18">
        <f t="shared" ref="D1373:E1373" si="1965">D1394+D1415</f>
        <v>46</v>
      </c>
      <c r="E1373" s="18">
        <f t="shared" si="1965"/>
        <v>47</v>
      </c>
      <c r="F1373" s="18">
        <f t="shared" ref="F1373:G1373" si="1966">F1394+F1415</f>
        <v>65</v>
      </c>
      <c r="G1373" s="18">
        <f t="shared" si="1966"/>
        <v>76</v>
      </c>
      <c r="H1373" s="18">
        <f t="shared" ref="H1373:I1373" si="1967">H1394+H1415</f>
        <v>62</v>
      </c>
      <c r="I1373" s="18">
        <f t="shared" si="1967"/>
        <v>88</v>
      </c>
      <c r="J1373" s="18">
        <f t="shared" ref="J1373:K1373" si="1968">J1394+J1415</f>
        <v>82</v>
      </c>
      <c r="K1373" s="18">
        <f t="shared" si="1968"/>
        <v>97</v>
      </c>
      <c r="L1373" s="18">
        <f t="shared" ref="L1373:M1373" si="1969">L1394+L1415</f>
        <v>109</v>
      </c>
      <c r="M1373" s="18">
        <f t="shared" si="1969"/>
        <v>84</v>
      </c>
      <c r="N1373" s="133">
        <f t="shared" si="1923"/>
        <v>863</v>
      </c>
      <c r="O1373" s="19">
        <f t="shared" si="1924"/>
        <v>71.916666666666671</v>
      </c>
    </row>
    <row r="1374" spans="1:26" s="9" customFormat="1" ht="15.75">
      <c r="A1374" s="34" t="s">
        <v>183</v>
      </c>
      <c r="B1374" s="18">
        <f t="shared" si="1900"/>
        <v>153</v>
      </c>
      <c r="C1374" s="18">
        <f t="shared" si="1900"/>
        <v>145</v>
      </c>
      <c r="D1374" s="18">
        <f t="shared" ref="D1374:E1374" si="1970">D1395+D1416</f>
        <v>150</v>
      </c>
      <c r="E1374" s="18">
        <f t="shared" si="1970"/>
        <v>103</v>
      </c>
      <c r="F1374" s="18">
        <f t="shared" ref="F1374:G1374" si="1971">F1395+F1416</f>
        <v>190</v>
      </c>
      <c r="G1374" s="18">
        <f t="shared" si="1971"/>
        <v>179</v>
      </c>
      <c r="H1374" s="18">
        <f t="shared" ref="H1374:I1374" si="1972">H1395+H1416</f>
        <v>122</v>
      </c>
      <c r="I1374" s="18">
        <f t="shared" si="1972"/>
        <v>160</v>
      </c>
      <c r="J1374" s="18">
        <f t="shared" ref="J1374:K1374" si="1973">J1395+J1416</f>
        <v>220</v>
      </c>
      <c r="K1374" s="18">
        <f t="shared" si="1973"/>
        <v>194</v>
      </c>
      <c r="L1374" s="18">
        <f t="shared" ref="L1374:M1374" si="1974">L1395+L1416</f>
        <v>109</v>
      </c>
      <c r="M1374" s="18">
        <f t="shared" si="1974"/>
        <v>199</v>
      </c>
      <c r="N1374" s="133">
        <f t="shared" si="1923"/>
        <v>1924</v>
      </c>
      <c r="O1374" s="19">
        <f t="shared" si="1924"/>
        <v>160.33333333333334</v>
      </c>
    </row>
    <row r="1375" spans="1:26" s="9" customFormat="1" ht="15.75">
      <c r="A1375" s="34" t="s">
        <v>184</v>
      </c>
      <c r="B1375" s="18">
        <f t="shared" si="1900"/>
        <v>207</v>
      </c>
      <c r="C1375" s="18">
        <f t="shared" si="1900"/>
        <v>209</v>
      </c>
      <c r="D1375" s="18">
        <f t="shared" ref="D1375:E1375" si="1975">D1396+D1417</f>
        <v>143</v>
      </c>
      <c r="E1375" s="18">
        <f t="shared" si="1975"/>
        <v>167</v>
      </c>
      <c r="F1375" s="18">
        <f t="shared" ref="F1375:G1375" si="1976">F1396+F1417</f>
        <v>216</v>
      </c>
      <c r="G1375" s="18">
        <f t="shared" si="1976"/>
        <v>236</v>
      </c>
      <c r="H1375" s="18">
        <f t="shared" ref="H1375:I1375" si="1977">H1396+H1417</f>
        <v>281</v>
      </c>
      <c r="I1375" s="18">
        <f t="shared" si="1977"/>
        <v>252</v>
      </c>
      <c r="J1375" s="18">
        <f t="shared" ref="J1375:K1375" si="1978">J1396+J1417</f>
        <v>229</v>
      </c>
      <c r="K1375" s="18">
        <f t="shared" si="1978"/>
        <v>230</v>
      </c>
      <c r="L1375" s="18">
        <f t="shared" ref="L1375:M1375" si="1979">L1396+L1417</f>
        <v>267</v>
      </c>
      <c r="M1375" s="18">
        <f t="shared" si="1979"/>
        <v>204</v>
      </c>
      <c r="N1375" s="133">
        <f t="shared" si="1923"/>
        <v>2641</v>
      </c>
      <c r="O1375" s="19">
        <f t="shared" si="1924"/>
        <v>220.08333333333334</v>
      </c>
    </row>
    <row r="1376" spans="1:26" s="9" customFormat="1" ht="15.75">
      <c r="A1376" s="34" t="s">
        <v>322</v>
      </c>
      <c r="B1376" s="18">
        <f t="shared" si="1900"/>
        <v>0</v>
      </c>
      <c r="C1376" s="18">
        <f t="shared" si="1900"/>
        <v>2</v>
      </c>
      <c r="D1376" s="18">
        <f t="shared" ref="D1376:E1376" si="1980">D1397+D1418</f>
        <v>5</v>
      </c>
      <c r="E1376" s="18">
        <f t="shared" si="1980"/>
        <v>0</v>
      </c>
      <c r="F1376" s="18">
        <f t="shared" ref="F1376:G1376" si="1981">F1397+F1418</f>
        <v>4</v>
      </c>
      <c r="G1376" s="18">
        <f t="shared" si="1981"/>
        <v>6</v>
      </c>
      <c r="H1376" s="18">
        <f t="shared" ref="H1376:I1376" si="1982">H1397+H1418</f>
        <v>3</v>
      </c>
      <c r="I1376" s="18">
        <f t="shared" si="1982"/>
        <v>2</v>
      </c>
      <c r="J1376" s="18">
        <f t="shared" ref="J1376:K1376" si="1983">J1397+J1418</f>
        <v>1</v>
      </c>
      <c r="K1376" s="18">
        <f t="shared" si="1983"/>
        <v>3</v>
      </c>
      <c r="L1376" s="18">
        <f t="shared" ref="L1376:M1376" si="1984">L1397+L1418</f>
        <v>0</v>
      </c>
      <c r="M1376" s="18">
        <f t="shared" si="1984"/>
        <v>1</v>
      </c>
      <c r="N1376" s="133">
        <f>SUM(B1376:M1376)</f>
        <v>27</v>
      </c>
      <c r="O1376" s="19">
        <f>AVERAGE(B1376:M1376)</f>
        <v>2.25</v>
      </c>
      <c r="P1376" s="96"/>
      <c r="Q1376" s="96"/>
      <c r="R1376" s="96"/>
      <c r="S1376" s="96"/>
      <c r="T1376" s="96"/>
      <c r="U1376" s="96"/>
      <c r="V1376" s="96"/>
      <c r="W1376" s="96"/>
      <c r="X1376" s="96"/>
      <c r="Y1376" s="96"/>
      <c r="Z1376" s="96"/>
    </row>
    <row r="1377" spans="1:26" s="9" customFormat="1" ht="15.75">
      <c r="A1377" s="56" t="s">
        <v>21</v>
      </c>
      <c r="B1377" s="21">
        <f t="shared" ref="B1377:G1377" si="1985">SUM(B1360:B1376)</f>
        <v>23726</v>
      </c>
      <c r="C1377" s="21">
        <f t="shared" si="1985"/>
        <v>25751</v>
      </c>
      <c r="D1377" s="21">
        <f t="shared" si="1985"/>
        <v>24934</v>
      </c>
      <c r="E1377" s="21">
        <f t="shared" si="1985"/>
        <v>25355</v>
      </c>
      <c r="F1377" s="21">
        <f t="shared" si="1985"/>
        <v>26932</v>
      </c>
      <c r="G1377" s="21">
        <f t="shared" si="1985"/>
        <v>27381</v>
      </c>
      <c r="H1377" s="21">
        <f t="shared" ref="H1377:I1377" si="1986">SUM(H1360:H1376)</f>
        <v>30110</v>
      </c>
      <c r="I1377" s="21">
        <f t="shared" si="1986"/>
        <v>41867</v>
      </c>
      <c r="J1377" s="21">
        <f t="shared" ref="J1377:K1377" si="1987">SUM(J1360:J1376)</f>
        <v>33779</v>
      </c>
      <c r="K1377" s="21">
        <f t="shared" si="1987"/>
        <v>33251</v>
      </c>
      <c r="L1377" s="21">
        <f t="shared" ref="L1377:M1377" si="1988">SUM(L1360:L1376)</f>
        <v>35271</v>
      </c>
      <c r="M1377" s="21">
        <f t="shared" si="1988"/>
        <v>35438</v>
      </c>
      <c r="N1377" s="128">
        <f>SUM(N1360:N1376)</f>
        <v>363795</v>
      </c>
      <c r="O1377" s="22">
        <f>SUM(O1360:O1375)</f>
        <v>30314</v>
      </c>
      <c r="P1377" s="96"/>
      <c r="Q1377" s="96"/>
      <c r="R1377" s="96"/>
      <c r="S1377" s="96"/>
      <c r="T1377" s="96"/>
      <c r="U1377" s="96"/>
      <c r="V1377" s="96"/>
      <c r="W1377" s="96"/>
      <c r="X1377" s="96"/>
      <c r="Y1377" s="96"/>
      <c r="Z1377" s="96"/>
    </row>
    <row r="1378" spans="1:26" s="9" customFormat="1" ht="15.75">
      <c r="A1378" s="341"/>
      <c r="B1378" s="321"/>
      <c r="C1378" s="321"/>
      <c r="D1378" s="321"/>
      <c r="E1378" s="321"/>
      <c r="F1378" s="321"/>
      <c r="G1378" s="321"/>
      <c r="H1378" s="321"/>
      <c r="I1378" s="321"/>
      <c r="J1378" s="321"/>
      <c r="K1378" s="321"/>
      <c r="L1378" s="321"/>
      <c r="M1378" s="321"/>
      <c r="N1378" s="147"/>
      <c r="O1378" s="322"/>
      <c r="P1378" s="96"/>
      <c r="Q1378" s="96"/>
      <c r="R1378" s="96"/>
      <c r="S1378" s="96"/>
      <c r="T1378" s="96"/>
      <c r="U1378" s="96"/>
      <c r="V1378" s="96"/>
      <c r="W1378" s="96"/>
      <c r="X1378" s="96"/>
      <c r="Y1378" s="96"/>
      <c r="Z1378" s="96"/>
    </row>
    <row r="1379" spans="1:26" s="9" customFormat="1" ht="15.75">
      <c r="A1379" s="14" t="s">
        <v>800</v>
      </c>
      <c r="B1379" s="27"/>
      <c r="C1379" s="27"/>
      <c r="D1379" s="27"/>
      <c r="E1379" s="27"/>
      <c r="F1379" s="27"/>
      <c r="G1379" s="27"/>
      <c r="H1379" s="27"/>
      <c r="I1379" s="27"/>
      <c r="J1379" s="27"/>
      <c r="K1379" s="27"/>
      <c r="L1379" s="27"/>
      <c r="M1379" s="27"/>
      <c r="N1379" s="135"/>
      <c r="O1379" s="28"/>
      <c r="P1379" s="96"/>
      <c r="Q1379" s="96"/>
      <c r="R1379" s="96"/>
      <c r="S1379" s="96"/>
      <c r="T1379" s="96"/>
      <c r="U1379" s="96"/>
      <c r="V1379" s="96"/>
      <c r="W1379" s="96"/>
      <c r="X1379" s="96"/>
      <c r="Y1379" s="96"/>
      <c r="Z1379" s="96"/>
    </row>
    <row r="1380" spans="1:26" s="9" customFormat="1" ht="15.75">
      <c r="A1380" s="60" t="s">
        <v>801</v>
      </c>
      <c r="B1380" s="75"/>
      <c r="C1380" s="75"/>
      <c r="D1380" s="75"/>
      <c r="E1380" s="75"/>
      <c r="F1380" s="75"/>
      <c r="G1380" s="75"/>
      <c r="H1380" s="75"/>
      <c r="I1380" s="75"/>
      <c r="J1380" s="75"/>
      <c r="K1380" s="75"/>
      <c r="L1380" s="75"/>
      <c r="M1380" s="75"/>
      <c r="N1380" s="146"/>
      <c r="O1380" s="76"/>
      <c r="P1380" s="96"/>
      <c r="Q1380" s="96"/>
      <c r="R1380" s="96"/>
      <c r="S1380" s="96"/>
      <c r="T1380" s="96"/>
      <c r="U1380" s="96"/>
      <c r="V1380" s="96"/>
      <c r="W1380" s="96"/>
      <c r="X1380" s="96"/>
      <c r="Y1380" s="96"/>
      <c r="Z1380" s="96"/>
    </row>
    <row r="1381" spans="1:26" s="9" customFormat="1" ht="15.75">
      <c r="A1381" s="37" t="s">
        <v>144</v>
      </c>
      <c r="B1381" s="18">
        <f t="shared" ref="B1381:G1381" si="1989">B693</f>
        <v>146</v>
      </c>
      <c r="C1381" s="18">
        <f t="shared" si="1989"/>
        <v>223</v>
      </c>
      <c r="D1381" s="18">
        <f t="shared" si="1989"/>
        <v>132</v>
      </c>
      <c r="E1381" s="18">
        <f t="shared" si="1989"/>
        <v>31</v>
      </c>
      <c r="F1381" s="18">
        <f t="shared" si="1989"/>
        <v>73</v>
      </c>
      <c r="G1381" s="18">
        <f t="shared" si="1989"/>
        <v>149</v>
      </c>
      <c r="H1381" s="18">
        <f t="shared" ref="H1381:I1381" si="1990">H693</f>
        <v>134</v>
      </c>
      <c r="I1381" s="18">
        <f t="shared" si="1990"/>
        <v>213</v>
      </c>
      <c r="J1381" s="18">
        <f t="shared" ref="J1381:K1381" si="1991">J693</f>
        <v>208</v>
      </c>
      <c r="K1381" s="18">
        <f t="shared" si="1991"/>
        <v>167</v>
      </c>
      <c r="L1381" s="18">
        <f t="shared" ref="L1381:M1381" si="1992">L693</f>
        <v>194</v>
      </c>
      <c r="M1381" s="18">
        <f t="shared" si="1992"/>
        <v>155</v>
      </c>
      <c r="N1381" s="133">
        <f>SUM(B1381:M1381)</f>
        <v>1825</v>
      </c>
      <c r="O1381" s="19">
        <f>IFERROR(AVERAGE(B1381:M1381),"")</f>
        <v>152.08333333333334</v>
      </c>
      <c r="P1381" s="96"/>
      <c r="Q1381" s="96"/>
      <c r="R1381" s="96"/>
      <c r="S1381" s="96"/>
      <c r="T1381" s="96"/>
      <c r="U1381" s="96"/>
      <c r="V1381" s="96"/>
      <c r="W1381" s="96"/>
      <c r="X1381" s="96"/>
      <c r="Y1381" s="96"/>
      <c r="Z1381" s="96"/>
    </row>
    <row r="1382" spans="1:26" s="9" customFormat="1" ht="15.75">
      <c r="A1382" s="37" t="s">
        <v>632</v>
      </c>
      <c r="B1382" s="18">
        <f t="shared" ref="B1382:G1382" si="1993">B711</f>
        <v>0</v>
      </c>
      <c r="C1382" s="18">
        <f t="shared" si="1993"/>
        <v>0</v>
      </c>
      <c r="D1382" s="18">
        <f t="shared" si="1993"/>
        <v>0</v>
      </c>
      <c r="E1382" s="18">
        <f t="shared" si="1993"/>
        <v>0</v>
      </c>
      <c r="F1382" s="18">
        <f t="shared" si="1993"/>
        <v>0</v>
      </c>
      <c r="G1382" s="18">
        <f t="shared" si="1993"/>
        <v>0</v>
      </c>
      <c r="H1382" s="18">
        <f t="shared" ref="H1382:I1382" si="1994">H711</f>
        <v>0</v>
      </c>
      <c r="I1382" s="18">
        <f t="shared" si="1994"/>
        <v>0</v>
      </c>
      <c r="J1382" s="18">
        <f t="shared" ref="J1382:K1382" si="1995">J711</f>
        <v>0</v>
      </c>
      <c r="K1382" s="18">
        <f t="shared" si="1995"/>
        <v>0</v>
      </c>
      <c r="L1382" s="18">
        <f t="shared" ref="L1382:M1382" si="1996">L711</f>
        <v>0</v>
      </c>
      <c r="M1382" s="18">
        <f t="shared" si="1996"/>
        <v>0</v>
      </c>
      <c r="N1382" s="133">
        <f>SUM(B1382:M1382)</f>
        <v>0</v>
      </c>
      <c r="O1382" s="19">
        <f t="shared" ref="O1382:O1398" si="1997">IFERROR(AVERAGE(B1382:M1382),"")</f>
        <v>0</v>
      </c>
      <c r="P1382" s="96"/>
      <c r="Q1382" s="96"/>
      <c r="R1382" s="96"/>
      <c r="S1382" s="96"/>
      <c r="T1382" s="96"/>
      <c r="U1382" s="96"/>
      <c r="V1382" s="96"/>
      <c r="W1382" s="96"/>
      <c r="X1382" s="96"/>
      <c r="Y1382" s="96"/>
      <c r="Z1382" s="96"/>
    </row>
    <row r="1383" spans="1:26" s="9" customFormat="1" ht="15.75">
      <c r="A1383" s="37" t="s">
        <v>562</v>
      </c>
      <c r="B1383" s="18">
        <f t="shared" ref="B1383:G1383" si="1998">B728</f>
        <v>0</v>
      </c>
      <c r="C1383" s="18">
        <f t="shared" si="1998"/>
        <v>0</v>
      </c>
      <c r="D1383" s="18">
        <f t="shared" si="1998"/>
        <v>0</v>
      </c>
      <c r="E1383" s="18">
        <f t="shared" si="1998"/>
        <v>0</v>
      </c>
      <c r="F1383" s="18">
        <f t="shared" si="1998"/>
        <v>0</v>
      </c>
      <c r="G1383" s="18">
        <f t="shared" si="1998"/>
        <v>0</v>
      </c>
      <c r="H1383" s="18">
        <f t="shared" ref="H1383:I1383" si="1999">H728</f>
        <v>0</v>
      </c>
      <c r="I1383" s="18">
        <f t="shared" si="1999"/>
        <v>0</v>
      </c>
      <c r="J1383" s="18">
        <f t="shared" ref="J1383:K1383" si="2000">J728</f>
        <v>0</v>
      </c>
      <c r="K1383" s="18">
        <f t="shared" si="2000"/>
        <v>0</v>
      </c>
      <c r="L1383" s="18">
        <f t="shared" ref="L1383:M1383" si="2001">L728</f>
        <v>0</v>
      </c>
      <c r="M1383" s="18">
        <f t="shared" si="2001"/>
        <v>0</v>
      </c>
      <c r="N1383" s="133">
        <f>SUM(B1383:M1383)</f>
        <v>0</v>
      </c>
      <c r="O1383" s="19">
        <f t="shared" si="1997"/>
        <v>0</v>
      </c>
      <c r="P1383" s="96"/>
      <c r="Q1383" s="96"/>
      <c r="R1383" s="96"/>
      <c r="S1383" s="96"/>
      <c r="T1383" s="96"/>
      <c r="U1383" s="96"/>
      <c r="V1383" s="96"/>
      <c r="W1383" s="96"/>
      <c r="X1383" s="96"/>
      <c r="Y1383" s="96"/>
      <c r="Z1383" s="96"/>
    </row>
    <row r="1384" spans="1:26" s="9" customFormat="1" ht="15.75">
      <c r="A1384" s="37" t="s">
        <v>297</v>
      </c>
      <c r="B1384" s="18">
        <f t="shared" ref="B1384:G1384" si="2002">B745</f>
        <v>1</v>
      </c>
      <c r="C1384" s="18">
        <f t="shared" si="2002"/>
        <v>0</v>
      </c>
      <c r="D1384" s="18">
        <f t="shared" si="2002"/>
        <v>1</v>
      </c>
      <c r="E1384" s="18">
        <f t="shared" si="2002"/>
        <v>2</v>
      </c>
      <c r="F1384" s="18">
        <f t="shared" si="2002"/>
        <v>3</v>
      </c>
      <c r="G1384" s="18">
        <f t="shared" si="2002"/>
        <v>2</v>
      </c>
      <c r="H1384" s="18">
        <f t="shared" ref="H1384:I1384" si="2003">H745</f>
        <v>3</v>
      </c>
      <c r="I1384" s="18">
        <f t="shared" si="2003"/>
        <v>2</v>
      </c>
      <c r="J1384" s="18">
        <f t="shared" ref="J1384:K1384" si="2004">J745</f>
        <v>4</v>
      </c>
      <c r="K1384" s="18">
        <f t="shared" si="2004"/>
        <v>0</v>
      </c>
      <c r="L1384" s="18">
        <f t="shared" ref="L1384:M1384" si="2005">L745</f>
        <v>1</v>
      </c>
      <c r="M1384" s="18">
        <f t="shared" si="2005"/>
        <v>4</v>
      </c>
      <c r="N1384" s="133">
        <f t="shared" ref="N1384:N1396" si="2006">SUM(B1384:M1384)</f>
        <v>23</v>
      </c>
      <c r="O1384" s="19">
        <f t="shared" si="1997"/>
        <v>1.9166666666666667</v>
      </c>
      <c r="P1384" s="96"/>
      <c r="Q1384" s="96"/>
      <c r="R1384" s="96"/>
      <c r="S1384" s="96"/>
      <c r="T1384" s="96"/>
      <c r="U1384" s="96"/>
      <c r="V1384" s="96"/>
      <c r="W1384" s="96"/>
      <c r="X1384" s="96"/>
      <c r="Y1384" s="96"/>
      <c r="Z1384" s="96"/>
    </row>
    <row r="1385" spans="1:26" s="9" customFormat="1" ht="15.75">
      <c r="A1385" s="37" t="s">
        <v>815</v>
      </c>
      <c r="B1385" s="18">
        <f t="shared" ref="B1385:G1385" si="2007">B830+B855</f>
        <v>1</v>
      </c>
      <c r="C1385" s="18">
        <f t="shared" si="2007"/>
        <v>4</v>
      </c>
      <c r="D1385" s="18">
        <f t="shared" si="2007"/>
        <v>3</v>
      </c>
      <c r="E1385" s="18">
        <f t="shared" si="2007"/>
        <v>4</v>
      </c>
      <c r="F1385" s="18">
        <f t="shared" si="2007"/>
        <v>1</v>
      </c>
      <c r="G1385" s="18">
        <f t="shared" si="2007"/>
        <v>3</v>
      </c>
      <c r="H1385" s="18">
        <f t="shared" ref="H1385:I1385" si="2008">H830+H855</f>
        <v>4</v>
      </c>
      <c r="I1385" s="18">
        <f t="shared" si="2008"/>
        <v>2</v>
      </c>
      <c r="J1385" s="18">
        <f t="shared" ref="J1385:K1385" si="2009">J830+J855</f>
        <v>2</v>
      </c>
      <c r="K1385" s="18">
        <f t="shared" si="2009"/>
        <v>2</v>
      </c>
      <c r="L1385" s="18">
        <f t="shared" ref="L1385:M1385" si="2010">L830+L855</f>
        <v>3</v>
      </c>
      <c r="M1385" s="18">
        <f t="shared" si="2010"/>
        <v>5</v>
      </c>
      <c r="N1385" s="133">
        <f t="shared" si="2006"/>
        <v>34</v>
      </c>
      <c r="O1385" s="19">
        <f t="shared" si="1997"/>
        <v>2.8333333333333335</v>
      </c>
      <c r="P1385" s="96"/>
      <c r="Q1385" s="96"/>
      <c r="R1385" s="96"/>
      <c r="S1385" s="96"/>
      <c r="T1385" s="96"/>
      <c r="U1385" s="96"/>
      <c r="V1385" s="96"/>
      <c r="W1385" s="96"/>
      <c r="X1385" s="96"/>
      <c r="Y1385" s="96"/>
      <c r="Z1385" s="96"/>
    </row>
    <row r="1386" spans="1:26" s="9" customFormat="1" ht="15.75">
      <c r="A1386" s="37" t="s">
        <v>299</v>
      </c>
      <c r="B1386" s="18">
        <f t="shared" ref="B1386:G1386" si="2011">B768</f>
        <v>8</v>
      </c>
      <c r="C1386" s="18">
        <f t="shared" si="2011"/>
        <v>14</v>
      </c>
      <c r="D1386" s="18">
        <f t="shared" si="2011"/>
        <v>10</v>
      </c>
      <c r="E1386" s="18">
        <f t="shared" si="2011"/>
        <v>4</v>
      </c>
      <c r="F1386" s="18">
        <f t="shared" si="2011"/>
        <v>11</v>
      </c>
      <c r="G1386" s="18">
        <f t="shared" si="2011"/>
        <v>11</v>
      </c>
      <c r="H1386" s="18">
        <f t="shared" ref="H1386:I1386" si="2012">H768</f>
        <v>7</v>
      </c>
      <c r="I1386" s="18">
        <f t="shared" si="2012"/>
        <v>16</v>
      </c>
      <c r="J1386" s="18">
        <f t="shared" ref="J1386:K1386" si="2013">J768</f>
        <v>10</v>
      </c>
      <c r="K1386" s="18">
        <f t="shared" si="2013"/>
        <v>14</v>
      </c>
      <c r="L1386" s="18">
        <f t="shared" ref="L1386:M1386" si="2014">L768</f>
        <v>19</v>
      </c>
      <c r="M1386" s="18">
        <f t="shared" si="2014"/>
        <v>18</v>
      </c>
      <c r="N1386" s="133">
        <f t="shared" si="2006"/>
        <v>142</v>
      </c>
      <c r="O1386" s="19">
        <f t="shared" si="1997"/>
        <v>11.833333333333334</v>
      </c>
      <c r="P1386" s="96"/>
      <c r="Q1386" s="96"/>
      <c r="R1386" s="96"/>
      <c r="S1386" s="96"/>
      <c r="T1386" s="96"/>
      <c r="U1386" s="96"/>
      <c r="V1386" s="96"/>
      <c r="W1386" s="96"/>
      <c r="X1386" s="96"/>
      <c r="Y1386" s="96"/>
      <c r="Z1386" s="96"/>
    </row>
    <row r="1387" spans="1:26" s="9" customFormat="1" ht="15.75">
      <c r="A1387" s="37" t="s">
        <v>185</v>
      </c>
      <c r="B1387" s="18">
        <f t="shared" ref="B1387:G1387" si="2015">B785</f>
        <v>188</v>
      </c>
      <c r="C1387" s="18">
        <f t="shared" si="2015"/>
        <v>208</v>
      </c>
      <c r="D1387" s="18">
        <f t="shared" si="2015"/>
        <v>105</v>
      </c>
      <c r="E1387" s="18">
        <f t="shared" si="2015"/>
        <v>88</v>
      </c>
      <c r="F1387" s="18">
        <f t="shared" si="2015"/>
        <v>210</v>
      </c>
      <c r="G1387" s="18">
        <f t="shared" si="2015"/>
        <v>202</v>
      </c>
      <c r="H1387" s="18">
        <f t="shared" ref="H1387:I1387" si="2016">H785</f>
        <v>216</v>
      </c>
      <c r="I1387" s="18">
        <f t="shared" si="2016"/>
        <v>183</v>
      </c>
      <c r="J1387" s="18">
        <f t="shared" ref="J1387:K1387" si="2017">J785</f>
        <v>187</v>
      </c>
      <c r="K1387" s="18">
        <f t="shared" si="2017"/>
        <v>192</v>
      </c>
      <c r="L1387" s="18">
        <f t="shared" ref="L1387:M1387" si="2018">L785</f>
        <v>205</v>
      </c>
      <c r="M1387" s="18">
        <f t="shared" si="2018"/>
        <v>194</v>
      </c>
      <c r="N1387" s="133">
        <f t="shared" si="2006"/>
        <v>2178</v>
      </c>
      <c r="O1387" s="19">
        <f t="shared" si="1997"/>
        <v>181.5</v>
      </c>
      <c r="P1387" s="96"/>
      <c r="Q1387" s="96"/>
      <c r="R1387" s="96"/>
      <c r="S1387" s="96"/>
      <c r="T1387" s="96"/>
      <c r="U1387" s="96"/>
      <c r="V1387" s="96"/>
      <c r="W1387" s="96"/>
      <c r="X1387" s="96"/>
      <c r="Y1387" s="96"/>
      <c r="Z1387" s="96"/>
    </row>
    <row r="1388" spans="1:26" s="9" customFormat="1" ht="15.75">
      <c r="A1388" s="34" t="s">
        <v>30</v>
      </c>
      <c r="B1388" s="18">
        <f t="shared" ref="B1388:G1388" si="2019">B802</f>
        <v>13</v>
      </c>
      <c r="C1388" s="18">
        <f t="shared" si="2019"/>
        <v>11</v>
      </c>
      <c r="D1388" s="18">
        <f t="shared" si="2019"/>
        <v>11</v>
      </c>
      <c r="E1388" s="18">
        <f t="shared" si="2019"/>
        <v>5</v>
      </c>
      <c r="F1388" s="18">
        <f t="shared" si="2019"/>
        <v>11</v>
      </c>
      <c r="G1388" s="18">
        <f t="shared" si="2019"/>
        <v>15</v>
      </c>
      <c r="H1388" s="18">
        <f t="shared" ref="H1388:I1388" si="2020">H802</f>
        <v>19</v>
      </c>
      <c r="I1388" s="18">
        <f t="shared" si="2020"/>
        <v>8</v>
      </c>
      <c r="J1388" s="18">
        <f t="shared" ref="J1388:K1388" si="2021">J802</f>
        <v>11</v>
      </c>
      <c r="K1388" s="18">
        <f t="shared" si="2021"/>
        <v>10</v>
      </c>
      <c r="L1388" s="18">
        <f t="shared" ref="L1388:M1388" si="2022">L802</f>
        <v>22</v>
      </c>
      <c r="M1388" s="18">
        <f t="shared" si="2022"/>
        <v>9</v>
      </c>
      <c r="N1388" s="133">
        <f t="shared" si="2006"/>
        <v>145</v>
      </c>
      <c r="O1388" s="19">
        <f t="shared" si="1997"/>
        <v>12.083333333333334</v>
      </c>
      <c r="P1388" s="96"/>
      <c r="Q1388" s="96"/>
      <c r="R1388" s="96"/>
      <c r="S1388" s="96"/>
      <c r="T1388" s="96"/>
      <c r="U1388" s="96"/>
      <c r="V1388" s="96"/>
      <c r="W1388" s="96"/>
      <c r="X1388" s="96"/>
      <c r="Y1388" s="96"/>
      <c r="Z1388" s="96"/>
    </row>
    <row r="1389" spans="1:26" s="9" customFormat="1" ht="15.75">
      <c r="A1389" s="37" t="s">
        <v>300</v>
      </c>
      <c r="B1389" s="18">
        <f t="shared" ref="B1389:G1389" si="2023">B872</f>
        <v>0</v>
      </c>
      <c r="C1389" s="18">
        <f t="shared" si="2023"/>
        <v>0</v>
      </c>
      <c r="D1389" s="18">
        <f t="shared" si="2023"/>
        <v>0</v>
      </c>
      <c r="E1389" s="18">
        <f t="shared" si="2023"/>
        <v>0</v>
      </c>
      <c r="F1389" s="18">
        <f t="shared" si="2023"/>
        <v>0</v>
      </c>
      <c r="G1389" s="18">
        <f t="shared" si="2023"/>
        <v>0</v>
      </c>
      <c r="H1389" s="18">
        <f t="shared" ref="H1389:I1389" si="2024">H872</f>
        <v>0</v>
      </c>
      <c r="I1389" s="18">
        <f t="shared" si="2024"/>
        <v>0</v>
      </c>
      <c r="J1389" s="18">
        <f t="shared" ref="J1389:K1389" si="2025">J872</f>
        <v>0</v>
      </c>
      <c r="K1389" s="18">
        <f t="shared" si="2025"/>
        <v>0</v>
      </c>
      <c r="L1389" s="18">
        <f t="shared" ref="L1389:M1389" si="2026">L872</f>
        <v>0</v>
      </c>
      <c r="M1389" s="18">
        <f t="shared" si="2026"/>
        <v>0</v>
      </c>
      <c r="N1389" s="133">
        <f t="shared" si="2006"/>
        <v>0</v>
      </c>
      <c r="O1389" s="19">
        <f t="shared" si="1997"/>
        <v>0</v>
      </c>
      <c r="P1389" s="96"/>
      <c r="Q1389" s="96"/>
      <c r="R1389" s="96"/>
      <c r="S1389" s="96"/>
      <c r="T1389" s="96"/>
      <c r="U1389" s="96"/>
      <c r="V1389" s="96"/>
      <c r="W1389" s="96"/>
      <c r="X1389" s="96"/>
      <c r="Y1389" s="96"/>
      <c r="Z1389" s="96"/>
    </row>
    <row r="1390" spans="1:26" s="9" customFormat="1" ht="15.75">
      <c r="A1390" s="64" t="s">
        <v>362</v>
      </c>
      <c r="B1390" s="65">
        <f t="shared" ref="B1390:G1390" si="2027">B902</f>
        <v>5940</v>
      </c>
      <c r="C1390" s="65">
        <f t="shared" si="2027"/>
        <v>6274</v>
      </c>
      <c r="D1390" s="65">
        <f t="shared" si="2027"/>
        <v>7497</v>
      </c>
      <c r="E1390" s="65">
        <f t="shared" si="2027"/>
        <v>7372</v>
      </c>
      <c r="F1390" s="65">
        <f t="shared" si="2027"/>
        <v>7933</v>
      </c>
      <c r="G1390" s="65">
        <f t="shared" si="2027"/>
        <v>7169</v>
      </c>
      <c r="H1390" s="65">
        <f t="shared" ref="H1390:I1390" si="2028">H902</f>
        <v>9512</v>
      </c>
      <c r="I1390" s="65">
        <f t="shared" si="2028"/>
        <v>8963</v>
      </c>
      <c r="J1390" s="65">
        <f t="shared" ref="J1390:K1390" si="2029">J902</f>
        <v>7583</v>
      </c>
      <c r="K1390" s="65">
        <f t="shared" si="2029"/>
        <v>8038</v>
      </c>
      <c r="L1390" s="65">
        <f t="shared" ref="L1390:M1390" si="2030">L902</f>
        <v>9273</v>
      </c>
      <c r="M1390" s="65">
        <f t="shared" si="2030"/>
        <v>8943</v>
      </c>
      <c r="N1390" s="143">
        <f t="shared" si="2006"/>
        <v>94497</v>
      </c>
      <c r="O1390" s="19">
        <f t="shared" si="1997"/>
        <v>7874.75</v>
      </c>
      <c r="P1390" s="96"/>
      <c r="Q1390" s="96"/>
      <c r="R1390" s="96"/>
      <c r="S1390" s="96"/>
      <c r="T1390" s="96"/>
      <c r="U1390" s="96"/>
      <c r="V1390" s="96"/>
      <c r="W1390" s="96"/>
      <c r="X1390" s="96"/>
      <c r="Y1390" s="96"/>
      <c r="Z1390" s="96"/>
    </row>
    <row r="1391" spans="1:26" s="9" customFormat="1" ht="15.75">
      <c r="A1391" s="41" t="s">
        <v>296</v>
      </c>
      <c r="B1391" s="35">
        <f t="shared" ref="B1391:G1391" si="2031">B919</f>
        <v>0</v>
      </c>
      <c r="C1391" s="35">
        <f t="shared" si="2031"/>
        <v>0</v>
      </c>
      <c r="D1391" s="35">
        <f t="shared" si="2031"/>
        <v>0</v>
      </c>
      <c r="E1391" s="35">
        <f t="shared" si="2031"/>
        <v>0</v>
      </c>
      <c r="F1391" s="35">
        <f t="shared" si="2031"/>
        <v>0</v>
      </c>
      <c r="G1391" s="35">
        <f t="shared" si="2031"/>
        <v>0</v>
      </c>
      <c r="H1391" s="35">
        <f t="shared" ref="H1391:I1391" si="2032">H919</f>
        <v>0</v>
      </c>
      <c r="I1391" s="35">
        <f t="shared" si="2032"/>
        <v>0</v>
      </c>
      <c r="J1391" s="35">
        <f t="shared" ref="J1391:K1391" si="2033">J919</f>
        <v>0</v>
      </c>
      <c r="K1391" s="35">
        <f t="shared" si="2033"/>
        <v>0</v>
      </c>
      <c r="L1391" s="35">
        <f t="shared" ref="L1391:M1391" si="2034">L919</f>
        <v>0</v>
      </c>
      <c r="M1391" s="35">
        <f t="shared" si="2034"/>
        <v>0</v>
      </c>
      <c r="N1391" s="138">
        <f t="shared" si="2006"/>
        <v>0</v>
      </c>
      <c r="O1391" s="19">
        <f t="shared" si="1997"/>
        <v>0</v>
      </c>
      <c r="P1391" s="96"/>
      <c r="Q1391" s="96"/>
      <c r="R1391" s="96"/>
      <c r="S1391" s="96"/>
      <c r="T1391" s="96"/>
      <c r="U1391" s="96"/>
      <c r="V1391" s="96"/>
      <c r="W1391" s="96"/>
      <c r="X1391" s="96"/>
      <c r="Y1391" s="96"/>
      <c r="Z1391" s="96"/>
    </row>
    <row r="1392" spans="1:26" s="9" customFormat="1" ht="15.75">
      <c r="A1392" s="37" t="s">
        <v>291</v>
      </c>
      <c r="B1392" s="18">
        <f t="shared" ref="B1392:G1392" si="2035">B936</f>
        <v>0</v>
      </c>
      <c r="C1392" s="18">
        <f t="shared" si="2035"/>
        <v>0</v>
      </c>
      <c r="D1392" s="18">
        <f t="shared" si="2035"/>
        <v>0</v>
      </c>
      <c r="E1392" s="18">
        <f t="shared" si="2035"/>
        <v>0</v>
      </c>
      <c r="F1392" s="18">
        <f t="shared" si="2035"/>
        <v>0</v>
      </c>
      <c r="G1392" s="18">
        <f t="shared" si="2035"/>
        <v>0</v>
      </c>
      <c r="H1392" s="18">
        <f t="shared" ref="H1392:I1392" si="2036">H936</f>
        <v>0</v>
      </c>
      <c r="I1392" s="18">
        <f t="shared" si="2036"/>
        <v>0</v>
      </c>
      <c r="J1392" s="18">
        <f t="shared" ref="J1392:K1392" si="2037">J936</f>
        <v>0</v>
      </c>
      <c r="K1392" s="18">
        <f t="shared" si="2037"/>
        <v>0</v>
      </c>
      <c r="L1392" s="18">
        <f t="shared" ref="L1392:M1392" si="2038">L936</f>
        <v>0</v>
      </c>
      <c r="M1392" s="18">
        <f t="shared" si="2038"/>
        <v>0</v>
      </c>
      <c r="N1392" s="133">
        <f t="shared" si="2006"/>
        <v>0</v>
      </c>
      <c r="O1392" s="19">
        <f t="shared" si="1997"/>
        <v>0</v>
      </c>
      <c r="P1392" s="96"/>
      <c r="Q1392" s="96"/>
      <c r="R1392" s="96"/>
      <c r="S1392" s="96"/>
      <c r="T1392" s="96"/>
      <c r="U1392" s="96"/>
      <c r="V1392" s="96"/>
      <c r="W1392" s="96"/>
      <c r="X1392" s="96"/>
      <c r="Y1392" s="96"/>
      <c r="Z1392" s="96"/>
    </row>
    <row r="1393" spans="1:26" s="9" customFormat="1" ht="15.75">
      <c r="A1393" s="37" t="s">
        <v>182</v>
      </c>
      <c r="B1393" s="18">
        <f t="shared" ref="B1393:G1393" si="2039">B1038</f>
        <v>253</v>
      </c>
      <c r="C1393" s="18">
        <f t="shared" si="2039"/>
        <v>384</v>
      </c>
      <c r="D1393" s="18">
        <f t="shared" si="2039"/>
        <v>377</v>
      </c>
      <c r="E1393" s="18">
        <f t="shared" si="2039"/>
        <v>261</v>
      </c>
      <c r="F1393" s="18">
        <f t="shared" si="2039"/>
        <v>385</v>
      </c>
      <c r="G1393" s="18">
        <f t="shared" si="2039"/>
        <v>353</v>
      </c>
      <c r="H1393" s="18">
        <f t="shared" ref="H1393:I1393" si="2040">H1038</f>
        <v>414</v>
      </c>
      <c r="I1393" s="18">
        <f t="shared" si="2040"/>
        <v>305</v>
      </c>
      <c r="J1393" s="18">
        <f t="shared" ref="J1393:K1393" si="2041">J1038</f>
        <v>226</v>
      </c>
      <c r="K1393" s="18">
        <f t="shared" si="2041"/>
        <v>388</v>
      </c>
      <c r="L1393" s="18">
        <f t="shared" ref="L1393:M1393" si="2042">L1038</f>
        <v>262</v>
      </c>
      <c r="M1393" s="18">
        <f t="shared" si="2042"/>
        <v>461</v>
      </c>
      <c r="N1393" s="133">
        <f t="shared" si="2006"/>
        <v>4069</v>
      </c>
      <c r="O1393" s="19">
        <f t="shared" si="1997"/>
        <v>339.08333333333331</v>
      </c>
      <c r="P1393" s="96"/>
      <c r="Q1393" s="96"/>
      <c r="R1393" s="96"/>
      <c r="S1393" s="96"/>
      <c r="T1393" s="96"/>
      <c r="U1393" s="96"/>
      <c r="V1393" s="96"/>
      <c r="W1393" s="96"/>
      <c r="X1393" s="96"/>
      <c r="Y1393" s="96"/>
      <c r="Z1393" s="96"/>
    </row>
    <row r="1394" spans="1:26" s="9" customFormat="1" ht="15.75">
      <c r="A1394" s="37" t="s">
        <v>292</v>
      </c>
      <c r="B1394" s="18">
        <f t="shared" ref="B1394:G1394" si="2043">B1100</f>
        <v>8</v>
      </c>
      <c r="C1394" s="18">
        <f t="shared" si="2043"/>
        <v>14</v>
      </c>
      <c r="D1394" s="18">
        <f t="shared" si="2043"/>
        <v>9</v>
      </c>
      <c r="E1394" s="18">
        <f t="shared" si="2043"/>
        <v>9</v>
      </c>
      <c r="F1394" s="18">
        <f t="shared" si="2043"/>
        <v>15</v>
      </c>
      <c r="G1394" s="18">
        <f t="shared" si="2043"/>
        <v>19</v>
      </c>
      <c r="H1394" s="18">
        <f t="shared" ref="H1394:I1394" si="2044">H1100</f>
        <v>10</v>
      </c>
      <c r="I1394" s="18">
        <f t="shared" si="2044"/>
        <v>18</v>
      </c>
      <c r="J1394" s="18">
        <f t="shared" ref="J1394:K1394" si="2045">J1100</f>
        <v>12</v>
      </c>
      <c r="K1394" s="18">
        <f t="shared" si="2045"/>
        <v>27</v>
      </c>
      <c r="L1394" s="18">
        <f t="shared" ref="L1394:M1394" si="2046">L1100</f>
        <v>20</v>
      </c>
      <c r="M1394" s="18">
        <f t="shared" si="2046"/>
        <v>18</v>
      </c>
      <c r="N1394" s="133">
        <f t="shared" si="2006"/>
        <v>179</v>
      </c>
      <c r="O1394" s="19">
        <f t="shared" si="1997"/>
        <v>14.916666666666666</v>
      </c>
      <c r="P1394" s="96"/>
      <c r="Q1394" s="96"/>
      <c r="R1394" s="96"/>
      <c r="S1394" s="96"/>
      <c r="T1394" s="96"/>
      <c r="U1394" s="96"/>
      <c r="V1394" s="96"/>
      <c r="W1394" s="96"/>
      <c r="X1394" s="96"/>
      <c r="Y1394" s="96"/>
      <c r="Z1394" s="96"/>
    </row>
    <row r="1395" spans="1:26" s="9" customFormat="1" ht="15.75">
      <c r="A1395" s="34" t="s">
        <v>183</v>
      </c>
      <c r="B1395" s="18">
        <f t="shared" ref="B1395:G1395" si="2047">B1166</f>
        <v>51</v>
      </c>
      <c r="C1395" s="18">
        <f t="shared" si="2047"/>
        <v>61</v>
      </c>
      <c r="D1395" s="18">
        <f t="shared" si="2047"/>
        <v>47</v>
      </c>
      <c r="E1395" s="18">
        <f t="shared" si="2047"/>
        <v>25</v>
      </c>
      <c r="F1395" s="18">
        <f t="shared" si="2047"/>
        <v>67</v>
      </c>
      <c r="G1395" s="18">
        <f t="shared" si="2047"/>
        <v>54</v>
      </c>
      <c r="H1395" s="18">
        <f t="shared" ref="H1395:I1395" si="2048">H1166</f>
        <v>61</v>
      </c>
      <c r="I1395" s="18">
        <f t="shared" si="2048"/>
        <v>52</v>
      </c>
      <c r="J1395" s="18">
        <f t="shared" ref="J1395:K1395" si="2049">J1166</f>
        <v>70</v>
      </c>
      <c r="K1395" s="18">
        <f t="shared" si="2049"/>
        <v>72</v>
      </c>
      <c r="L1395" s="18">
        <f t="shared" ref="L1395:M1395" si="2050">L1166</f>
        <v>40</v>
      </c>
      <c r="M1395" s="18">
        <f t="shared" si="2050"/>
        <v>90</v>
      </c>
      <c r="N1395" s="133">
        <f t="shared" si="2006"/>
        <v>690</v>
      </c>
      <c r="O1395" s="19">
        <f t="shared" si="1997"/>
        <v>57.5</v>
      </c>
      <c r="P1395" s="96"/>
      <c r="Q1395" s="96"/>
      <c r="R1395" s="96"/>
      <c r="S1395" s="96"/>
      <c r="T1395" s="96"/>
      <c r="U1395" s="96"/>
      <c r="V1395" s="96"/>
      <c r="W1395" s="96"/>
      <c r="X1395" s="96"/>
      <c r="Y1395" s="96"/>
      <c r="Z1395" s="96"/>
    </row>
    <row r="1396" spans="1:26" s="191" customFormat="1" ht="15.75">
      <c r="A1396" s="34" t="s">
        <v>184</v>
      </c>
      <c r="B1396" s="18">
        <f t="shared" ref="B1396:G1396" si="2051">B1211</f>
        <v>9</v>
      </c>
      <c r="C1396" s="18">
        <f t="shared" si="2051"/>
        <v>13</v>
      </c>
      <c r="D1396" s="18">
        <f t="shared" si="2051"/>
        <v>10</v>
      </c>
      <c r="E1396" s="18">
        <f t="shared" si="2051"/>
        <v>9</v>
      </c>
      <c r="F1396" s="18">
        <f t="shared" si="2051"/>
        <v>22</v>
      </c>
      <c r="G1396" s="18">
        <f t="shared" si="2051"/>
        <v>19</v>
      </c>
      <c r="H1396" s="18">
        <f t="shared" ref="H1396:I1396" si="2052">H1211</f>
        <v>29</v>
      </c>
      <c r="I1396" s="18">
        <f t="shared" si="2052"/>
        <v>22</v>
      </c>
      <c r="J1396" s="18">
        <f t="shared" ref="J1396:K1396" si="2053">J1211</f>
        <v>20</v>
      </c>
      <c r="K1396" s="18">
        <f t="shared" si="2053"/>
        <v>19</v>
      </c>
      <c r="L1396" s="18">
        <f t="shared" ref="L1396:M1396" si="2054">L1211</f>
        <v>37</v>
      </c>
      <c r="M1396" s="18">
        <f t="shared" si="2054"/>
        <v>18</v>
      </c>
      <c r="N1396" s="133">
        <f t="shared" si="2006"/>
        <v>227</v>
      </c>
      <c r="O1396" s="19">
        <f t="shared" si="1997"/>
        <v>18.916666666666668</v>
      </c>
      <c r="P1396" s="227"/>
      <c r="Q1396" s="227"/>
      <c r="R1396" s="227"/>
      <c r="S1396" s="227"/>
      <c r="T1396" s="227"/>
      <c r="U1396" s="227"/>
      <c r="V1396" s="227"/>
      <c r="W1396" s="227"/>
      <c r="X1396" s="227"/>
      <c r="Y1396" s="227"/>
      <c r="Z1396" s="227"/>
    </row>
    <row r="1397" spans="1:26" s="9" customFormat="1" ht="15.75">
      <c r="A1397" s="34" t="s">
        <v>322</v>
      </c>
      <c r="B1397" s="18">
        <f t="shared" ref="B1397:G1397" si="2055">B1256</f>
        <v>0</v>
      </c>
      <c r="C1397" s="18">
        <f t="shared" si="2055"/>
        <v>2</v>
      </c>
      <c r="D1397" s="18">
        <f t="shared" si="2055"/>
        <v>5</v>
      </c>
      <c r="E1397" s="18">
        <f t="shared" si="2055"/>
        <v>0</v>
      </c>
      <c r="F1397" s="18">
        <f t="shared" si="2055"/>
        <v>4</v>
      </c>
      <c r="G1397" s="18">
        <f t="shared" si="2055"/>
        <v>5</v>
      </c>
      <c r="H1397" s="18">
        <f t="shared" ref="H1397:I1397" si="2056">H1256</f>
        <v>3</v>
      </c>
      <c r="I1397" s="18">
        <f t="shared" si="2056"/>
        <v>2</v>
      </c>
      <c r="J1397" s="18">
        <f t="shared" ref="J1397:K1397" si="2057">J1256</f>
        <v>1</v>
      </c>
      <c r="K1397" s="18">
        <f t="shared" si="2057"/>
        <v>3</v>
      </c>
      <c r="L1397" s="18">
        <f t="shared" ref="L1397:M1397" si="2058">L1256</f>
        <v>0</v>
      </c>
      <c r="M1397" s="18">
        <f t="shared" si="2058"/>
        <v>1</v>
      </c>
      <c r="N1397" s="133">
        <f>SUM(B1397:M1397)</f>
        <v>26</v>
      </c>
      <c r="O1397" s="19">
        <f t="shared" si="1997"/>
        <v>2.1666666666666665</v>
      </c>
      <c r="P1397" s="96"/>
      <c r="Q1397" s="96"/>
      <c r="R1397" s="96"/>
      <c r="S1397" s="96"/>
      <c r="T1397" s="96"/>
      <c r="U1397" s="96"/>
      <c r="V1397" s="96"/>
      <c r="W1397" s="96"/>
      <c r="X1397" s="96"/>
      <c r="Y1397" s="96"/>
      <c r="Z1397" s="96"/>
    </row>
    <row r="1398" spans="1:26" s="9" customFormat="1" ht="15.75">
      <c r="A1398" s="56" t="s">
        <v>21</v>
      </c>
      <c r="B1398" s="21">
        <f t="shared" ref="B1398:G1398" si="2059">SUM(B1381:B1397)</f>
        <v>6618</v>
      </c>
      <c r="C1398" s="21">
        <f t="shared" si="2059"/>
        <v>7208</v>
      </c>
      <c r="D1398" s="21">
        <f t="shared" si="2059"/>
        <v>8207</v>
      </c>
      <c r="E1398" s="21">
        <f t="shared" si="2059"/>
        <v>7810</v>
      </c>
      <c r="F1398" s="21">
        <f t="shared" si="2059"/>
        <v>8735</v>
      </c>
      <c r="G1398" s="21">
        <f t="shared" si="2059"/>
        <v>8001</v>
      </c>
      <c r="H1398" s="21">
        <f t="shared" ref="H1398:I1398" si="2060">SUM(H1381:H1397)</f>
        <v>10412</v>
      </c>
      <c r="I1398" s="21">
        <f t="shared" si="2060"/>
        <v>9786</v>
      </c>
      <c r="J1398" s="21">
        <f t="shared" ref="J1398:K1398" si="2061">SUM(J1381:J1397)</f>
        <v>8334</v>
      </c>
      <c r="K1398" s="21">
        <f t="shared" si="2061"/>
        <v>8932</v>
      </c>
      <c r="L1398" s="21">
        <f t="shared" ref="L1398:M1398" si="2062">SUM(L1381:L1397)</f>
        <v>10076</v>
      </c>
      <c r="M1398" s="21">
        <f t="shared" si="2062"/>
        <v>9916</v>
      </c>
      <c r="N1398" s="128">
        <f>SUM(N1381:N1397)</f>
        <v>104035</v>
      </c>
      <c r="O1398" s="335">
        <f t="shared" si="1997"/>
        <v>8669.5833333333339</v>
      </c>
      <c r="P1398" s="96"/>
      <c r="Q1398" s="96"/>
      <c r="R1398" s="96"/>
      <c r="S1398" s="96"/>
      <c r="T1398" s="96"/>
      <c r="U1398" s="96"/>
      <c r="V1398" s="96"/>
      <c r="W1398" s="96"/>
      <c r="X1398" s="96"/>
      <c r="Y1398" s="96"/>
      <c r="Z1398" s="96"/>
    </row>
    <row r="1399" spans="1:26" s="9" customFormat="1">
      <c r="A1399" s="223"/>
      <c r="B1399" s="224"/>
      <c r="C1399" s="224"/>
      <c r="D1399" s="224"/>
      <c r="E1399" s="224"/>
      <c r="F1399" s="224"/>
      <c r="G1399" s="224"/>
      <c r="H1399" s="224"/>
      <c r="I1399" s="224"/>
      <c r="J1399" s="224"/>
      <c r="K1399" s="224"/>
      <c r="L1399" s="224"/>
      <c r="M1399" s="224"/>
      <c r="N1399" s="225"/>
      <c r="O1399" s="226"/>
      <c r="P1399" s="96"/>
      <c r="Q1399" s="96"/>
      <c r="R1399" s="96"/>
      <c r="S1399" s="96"/>
      <c r="T1399" s="96"/>
      <c r="U1399" s="96"/>
      <c r="V1399" s="96"/>
      <c r="W1399" s="96"/>
      <c r="X1399" s="96"/>
      <c r="Y1399" s="96"/>
      <c r="Z1399" s="96"/>
    </row>
    <row r="1400" spans="1:26" s="9" customFormat="1" ht="15.75">
      <c r="A1400" s="14" t="s">
        <v>802</v>
      </c>
      <c r="B1400" s="412"/>
      <c r="C1400" s="412"/>
      <c r="D1400" s="412"/>
      <c r="E1400" s="412"/>
      <c r="F1400" s="412"/>
      <c r="G1400" s="412"/>
      <c r="H1400" s="412"/>
      <c r="I1400" s="412"/>
      <c r="J1400" s="412"/>
      <c r="K1400" s="412"/>
      <c r="L1400" s="412"/>
      <c r="M1400" s="412"/>
      <c r="N1400" s="412"/>
      <c r="O1400" s="413"/>
      <c r="P1400" s="96"/>
      <c r="Q1400" s="96"/>
      <c r="R1400" s="96"/>
      <c r="S1400" s="96"/>
      <c r="T1400" s="96"/>
      <c r="U1400" s="96"/>
      <c r="V1400" s="96"/>
      <c r="W1400" s="96"/>
      <c r="X1400" s="96"/>
      <c r="Y1400" s="96"/>
      <c r="Z1400" s="96"/>
    </row>
    <row r="1401" spans="1:26" s="9" customFormat="1" ht="15.75">
      <c r="A1401" s="100" t="s">
        <v>803</v>
      </c>
      <c r="B1401" s="108"/>
      <c r="C1401" s="108"/>
      <c r="D1401" s="108"/>
      <c r="E1401" s="108"/>
      <c r="F1401" s="108"/>
      <c r="G1401" s="108"/>
      <c r="H1401" s="108"/>
      <c r="I1401" s="108"/>
      <c r="J1401" s="108"/>
      <c r="K1401" s="108"/>
      <c r="L1401" s="108"/>
      <c r="M1401" s="108"/>
      <c r="N1401" s="153"/>
      <c r="O1401" s="109"/>
      <c r="P1401" s="96"/>
      <c r="Q1401" s="96"/>
      <c r="R1401" s="96"/>
      <c r="S1401" s="96"/>
      <c r="T1401" s="96"/>
      <c r="U1401" s="96"/>
      <c r="V1401" s="96"/>
      <c r="W1401" s="96"/>
      <c r="X1401" s="96"/>
      <c r="Y1401" s="96"/>
      <c r="Z1401" s="96"/>
    </row>
    <row r="1402" spans="1:26" s="9" customFormat="1" ht="15.75">
      <c r="A1402" s="37" t="s">
        <v>144</v>
      </c>
      <c r="B1402" s="18">
        <f t="shared" ref="B1402:G1402" si="2063">B694</f>
        <v>130</v>
      </c>
      <c r="C1402" s="18">
        <f t="shared" si="2063"/>
        <v>204</v>
      </c>
      <c r="D1402" s="18">
        <f t="shared" si="2063"/>
        <v>163</v>
      </c>
      <c r="E1402" s="18">
        <f t="shared" si="2063"/>
        <v>72</v>
      </c>
      <c r="F1402" s="18">
        <f t="shared" si="2063"/>
        <v>91</v>
      </c>
      <c r="G1402" s="18">
        <f t="shared" si="2063"/>
        <v>182</v>
      </c>
      <c r="H1402" s="18">
        <f t="shared" ref="H1402:I1402" si="2064">H694</f>
        <v>160</v>
      </c>
      <c r="I1402" s="18">
        <f t="shared" si="2064"/>
        <v>200</v>
      </c>
      <c r="J1402" s="18">
        <f t="shared" ref="J1402:K1402" si="2065">J694</f>
        <v>131</v>
      </c>
      <c r="K1402" s="18">
        <f t="shared" si="2065"/>
        <v>206</v>
      </c>
      <c r="L1402" s="18">
        <f t="shared" ref="L1402:M1402" si="2066">L694</f>
        <v>115</v>
      </c>
      <c r="M1402" s="18">
        <f t="shared" si="2066"/>
        <v>169</v>
      </c>
      <c r="N1402" s="133">
        <f>SUM(B1402:M1402)</f>
        <v>1823</v>
      </c>
      <c r="O1402" s="19">
        <f>AVERAGE(B1402:M1402)</f>
        <v>151.91666666666666</v>
      </c>
      <c r="P1402" s="96"/>
      <c r="Q1402" s="96"/>
      <c r="R1402" s="96"/>
      <c r="S1402" s="96"/>
      <c r="T1402" s="96"/>
      <c r="U1402" s="96"/>
      <c r="V1402" s="96"/>
      <c r="W1402" s="96"/>
      <c r="X1402" s="96"/>
      <c r="Y1402" s="96"/>
      <c r="Z1402" s="96"/>
    </row>
    <row r="1403" spans="1:26" s="9" customFormat="1" ht="15.75">
      <c r="A1403" s="37" t="s">
        <v>632</v>
      </c>
      <c r="B1403" s="18">
        <f t="shared" ref="B1403:G1403" si="2067">B712</f>
        <v>1</v>
      </c>
      <c r="C1403" s="18">
        <f t="shared" si="2067"/>
        <v>1</v>
      </c>
      <c r="D1403" s="18">
        <f t="shared" si="2067"/>
        <v>0</v>
      </c>
      <c r="E1403" s="18">
        <f t="shared" si="2067"/>
        <v>0</v>
      </c>
      <c r="F1403" s="18">
        <f t="shared" si="2067"/>
        <v>0</v>
      </c>
      <c r="G1403" s="18">
        <f t="shared" si="2067"/>
        <v>1</v>
      </c>
      <c r="H1403" s="18">
        <f t="shared" ref="H1403:I1403" si="2068">H712</f>
        <v>0</v>
      </c>
      <c r="I1403" s="18">
        <f t="shared" si="2068"/>
        <v>1</v>
      </c>
      <c r="J1403" s="18">
        <f t="shared" ref="J1403:K1403" si="2069">J712</f>
        <v>1</v>
      </c>
      <c r="K1403" s="18">
        <f t="shared" si="2069"/>
        <v>0</v>
      </c>
      <c r="L1403" s="18">
        <f t="shared" ref="L1403:M1403" si="2070">L712</f>
        <v>1</v>
      </c>
      <c r="M1403" s="18">
        <f t="shared" si="2070"/>
        <v>1</v>
      </c>
      <c r="N1403" s="133">
        <f t="shared" ref="N1403:N1418" si="2071">SUM(B1403:M1403)</f>
        <v>7</v>
      </c>
      <c r="O1403" s="19">
        <f t="shared" ref="O1403:O1418" si="2072">AVERAGE(B1403:M1403)</f>
        <v>0.58333333333333337</v>
      </c>
      <c r="P1403" s="96"/>
      <c r="Q1403" s="96"/>
      <c r="R1403" s="96"/>
      <c r="S1403" s="96"/>
      <c r="T1403" s="96"/>
      <c r="U1403" s="96"/>
      <c r="V1403" s="96"/>
      <c r="W1403" s="96"/>
      <c r="X1403" s="96"/>
      <c r="Y1403" s="96"/>
      <c r="Z1403" s="96"/>
    </row>
    <row r="1404" spans="1:26" s="9" customFormat="1" ht="15.75">
      <c r="A1404" s="37" t="s">
        <v>562</v>
      </c>
      <c r="B1404" s="18">
        <f t="shared" ref="B1404:G1404" si="2073">B729</f>
        <v>71</v>
      </c>
      <c r="C1404" s="18">
        <f t="shared" si="2073"/>
        <v>77</v>
      </c>
      <c r="D1404" s="18">
        <f t="shared" si="2073"/>
        <v>76</v>
      </c>
      <c r="E1404" s="18">
        <f t="shared" si="2073"/>
        <v>70</v>
      </c>
      <c r="F1404" s="18">
        <f t="shared" si="2073"/>
        <v>77</v>
      </c>
      <c r="G1404" s="18">
        <f t="shared" si="2073"/>
        <v>84</v>
      </c>
      <c r="H1404" s="18">
        <f t="shared" ref="H1404:I1404" si="2074">H729</f>
        <v>74</v>
      </c>
      <c r="I1404" s="18">
        <f t="shared" si="2074"/>
        <v>85</v>
      </c>
      <c r="J1404" s="18">
        <f t="shared" ref="J1404:K1404" si="2075">J729</f>
        <v>87</v>
      </c>
      <c r="K1404" s="18">
        <f t="shared" si="2075"/>
        <v>81</v>
      </c>
      <c r="L1404" s="18">
        <f t="shared" ref="L1404:M1404" si="2076">L729</f>
        <v>86</v>
      </c>
      <c r="M1404" s="18">
        <f t="shared" si="2076"/>
        <v>93</v>
      </c>
      <c r="N1404" s="133">
        <f t="shared" si="2071"/>
        <v>961</v>
      </c>
      <c r="O1404" s="19">
        <f t="shared" si="2072"/>
        <v>80.083333333333329</v>
      </c>
      <c r="P1404" s="96"/>
      <c r="Q1404" s="96"/>
      <c r="R1404" s="96"/>
      <c r="S1404" s="96"/>
      <c r="T1404" s="96"/>
      <c r="U1404" s="96"/>
      <c r="V1404" s="96"/>
      <c r="W1404" s="96"/>
      <c r="X1404" s="96"/>
      <c r="Y1404" s="96"/>
      <c r="Z1404" s="96"/>
    </row>
    <row r="1405" spans="1:26" s="9" customFormat="1" ht="15.75">
      <c r="A1405" s="37" t="s">
        <v>297</v>
      </c>
      <c r="B1405" s="18">
        <f t="shared" ref="B1405:G1405" si="2077">B746</f>
        <v>0</v>
      </c>
      <c r="C1405" s="18">
        <f t="shared" si="2077"/>
        <v>0</v>
      </c>
      <c r="D1405" s="18">
        <f t="shared" si="2077"/>
        <v>0</v>
      </c>
      <c r="E1405" s="18">
        <f t="shared" si="2077"/>
        <v>0</v>
      </c>
      <c r="F1405" s="18">
        <f t="shared" si="2077"/>
        <v>0</v>
      </c>
      <c r="G1405" s="18">
        <f t="shared" si="2077"/>
        <v>0</v>
      </c>
      <c r="H1405" s="18">
        <f t="shared" ref="H1405:I1405" si="2078">H746</f>
        <v>0</v>
      </c>
      <c r="I1405" s="18">
        <f t="shared" si="2078"/>
        <v>0</v>
      </c>
      <c r="J1405" s="18">
        <f t="shared" ref="J1405:K1405" si="2079">J746</f>
        <v>0</v>
      </c>
      <c r="K1405" s="18">
        <f t="shared" si="2079"/>
        <v>0</v>
      </c>
      <c r="L1405" s="18">
        <f t="shared" ref="L1405:M1405" si="2080">L746</f>
        <v>0</v>
      </c>
      <c r="M1405" s="18">
        <f t="shared" si="2080"/>
        <v>0</v>
      </c>
      <c r="N1405" s="133">
        <f t="shared" si="2071"/>
        <v>0</v>
      </c>
      <c r="O1405" s="19">
        <f t="shared" si="2072"/>
        <v>0</v>
      </c>
      <c r="P1405" s="96"/>
      <c r="Q1405" s="96"/>
      <c r="R1405" s="96"/>
      <c r="S1405" s="96"/>
      <c r="T1405" s="96"/>
      <c r="U1405" s="96"/>
      <c r="V1405" s="96"/>
      <c r="W1405" s="96"/>
      <c r="X1405" s="96"/>
      <c r="Y1405" s="96"/>
      <c r="Z1405" s="96"/>
    </row>
    <row r="1406" spans="1:26" s="9" customFormat="1" ht="15.75">
      <c r="A1406" s="37" t="s">
        <v>815</v>
      </c>
      <c r="B1406" s="18">
        <f t="shared" ref="B1406:G1406" si="2081">B831+B856</f>
        <v>91</v>
      </c>
      <c r="C1406" s="18">
        <f t="shared" si="2081"/>
        <v>109</v>
      </c>
      <c r="D1406" s="18">
        <f t="shared" si="2081"/>
        <v>49</v>
      </c>
      <c r="E1406" s="18">
        <f t="shared" si="2081"/>
        <v>0</v>
      </c>
      <c r="F1406" s="18">
        <f t="shared" si="2081"/>
        <v>71</v>
      </c>
      <c r="G1406" s="18">
        <f t="shared" si="2081"/>
        <v>124</v>
      </c>
      <c r="H1406" s="18">
        <f t="shared" ref="H1406:I1406" si="2082">H831+H856</f>
        <v>131</v>
      </c>
      <c r="I1406" s="18">
        <f t="shared" si="2082"/>
        <v>127</v>
      </c>
      <c r="J1406" s="18">
        <f t="shared" ref="J1406:K1406" si="2083">J831+J856</f>
        <v>105</v>
      </c>
      <c r="K1406" s="18">
        <f t="shared" si="2083"/>
        <v>60</v>
      </c>
      <c r="L1406" s="18">
        <f t="shared" ref="L1406:M1406" si="2084">L831+L856</f>
        <v>107</v>
      </c>
      <c r="M1406" s="18">
        <f t="shared" si="2084"/>
        <v>114</v>
      </c>
      <c r="N1406" s="133">
        <f t="shared" si="2071"/>
        <v>1088</v>
      </c>
      <c r="O1406" s="19">
        <f t="shared" si="2072"/>
        <v>90.666666666666671</v>
      </c>
      <c r="P1406" s="96"/>
      <c r="Q1406" s="96"/>
      <c r="R1406" s="96"/>
      <c r="S1406" s="96"/>
      <c r="T1406" s="96"/>
      <c r="U1406" s="96"/>
      <c r="V1406" s="96"/>
      <c r="W1406" s="96"/>
      <c r="X1406" s="96"/>
      <c r="Y1406" s="96"/>
      <c r="Z1406" s="96"/>
    </row>
    <row r="1407" spans="1:26" s="9" customFormat="1" ht="15.75">
      <c r="A1407" s="37" t="s">
        <v>299</v>
      </c>
      <c r="B1407" s="18">
        <f t="shared" ref="B1407:G1407" si="2085">B769</f>
        <v>3</v>
      </c>
      <c r="C1407" s="18">
        <f t="shared" si="2085"/>
        <v>0</v>
      </c>
      <c r="D1407" s="18">
        <f t="shared" si="2085"/>
        <v>0</v>
      </c>
      <c r="E1407" s="18">
        <f t="shared" si="2085"/>
        <v>0</v>
      </c>
      <c r="F1407" s="18">
        <f t="shared" si="2085"/>
        <v>0</v>
      </c>
      <c r="G1407" s="18">
        <f t="shared" si="2085"/>
        <v>0</v>
      </c>
      <c r="H1407" s="18">
        <f t="shared" ref="H1407:I1407" si="2086">H769</f>
        <v>0</v>
      </c>
      <c r="I1407" s="18">
        <f t="shared" si="2086"/>
        <v>0</v>
      </c>
      <c r="J1407" s="18">
        <f t="shared" ref="J1407:K1407" si="2087">J769</f>
        <v>0</v>
      </c>
      <c r="K1407" s="18">
        <f t="shared" si="2087"/>
        <v>0</v>
      </c>
      <c r="L1407" s="18">
        <f t="shared" ref="L1407:M1407" si="2088">L769</f>
        <v>0</v>
      </c>
      <c r="M1407" s="18">
        <f t="shared" si="2088"/>
        <v>0</v>
      </c>
      <c r="N1407" s="133">
        <f t="shared" si="2071"/>
        <v>3</v>
      </c>
      <c r="O1407" s="19">
        <f t="shared" si="2072"/>
        <v>0.25</v>
      </c>
      <c r="P1407" s="96"/>
      <c r="Q1407" s="96"/>
      <c r="R1407" s="96"/>
      <c r="S1407" s="96"/>
      <c r="T1407" s="96"/>
      <c r="U1407" s="96"/>
      <c r="V1407" s="96"/>
      <c r="W1407" s="96"/>
      <c r="X1407" s="96"/>
      <c r="Y1407" s="96"/>
      <c r="Z1407" s="96"/>
    </row>
    <row r="1408" spans="1:26" s="9" customFormat="1" ht="15.75">
      <c r="A1408" s="37" t="s">
        <v>185</v>
      </c>
      <c r="B1408" s="18">
        <f t="shared" ref="B1408:G1408" si="2089">B786</f>
        <v>109</v>
      </c>
      <c r="C1408" s="18">
        <f t="shared" si="2089"/>
        <v>187</v>
      </c>
      <c r="D1408" s="18">
        <f t="shared" si="2089"/>
        <v>63</v>
      </c>
      <c r="E1408" s="18">
        <f t="shared" si="2089"/>
        <v>3</v>
      </c>
      <c r="F1408" s="18">
        <f t="shared" si="2089"/>
        <v>2</v>
      </c>
      <c r="G1408" s="18">
        <f t="shared" si="2089"/>
        <v>0</v>
      </c>
      <c r="H1408" s="18">
        <f t="shared" ref="H1408:I1408" si="2090">H786</f>
        <v>178</v>
      </c>
      <c r="I1408" s="18">
        <f t="shared" si="2090"/>
        <v>176</v>
      </c>
      <c r="J1408" s="18">
        <f t="shared" ref="J1408:K1408" si="2091">J786</f>
        <v>212</v>
      </c>
      <c r="K1408" s="18">
        <f t="shared" si="2091"/>
        <v>166</v>
      </c>
      <c r="L1408" s="18">
        <f t="shared" ref="L1408:M1408" si="2092">L786</f>
        <v>143</v>
      </c>
      <c r="M1408" s="18">
        <f t="shared" si="2092"/>
        <v>213</v>
      </c>
      <c r="N1408" s="133">
        <f t="shared" si="2071"/>
        <v>1452</v>
      </c>
      <c r="O1408" s="19">
        <f t="shared" si="2072"/>
        <v>121</v>
      </c>
      <c r="P1408" s="96"/>
      <c r="Q1408" s="96"/>
      <c r="R1408" s="96"/>
      <c r="S1408" s="96"/>
      <c r="T1408" s="96"/>
      <c r="U1408" s="96"/>
      <c r="V1408" s="96"/>
      <c r="W1408" s="96"/>
      <c r="X1408" s="96"/>
      <c r="Y1408" s="96"/>
      <c r="Z1408" s="96"/>
    </row>
    <row r="1409" spans="1:26" s="9" customFormat="1" ht="15.75">
      <c r="A1409" s="34" t="s">
        <v>30</v>
      </c>
      <c r="B1409" s="18">
        <f t="shared" ref="B1409:G1409" si="2093">B803</f>
        <v>369</v>
      </c>
      <c r="C1409" s="18">
        <f t="shared" si="2093"/>
        <v>374</v>
      </c>
      <c r="D1409" s="18">
        <f t="shared" si="2093"/>
        <v>230</v>
      </c>
      <c r="E1409" s="18">
        <f t="shared" si="2093"/>
        <v>0</v>
      </c>
      <c r="F1409" s="18">
        <f t="shared" si="2093"/>
        <v>97</v>
      </c>
      <c r="G1409" s="18">
        <f t="shared" si="2093"/>
        <v>207</v>
      </c>
      <c r="H1409" s="18">
        <f t="shared" ref="H1409:I1409" si="2094">H803</f>
        <v>359</v>
      </c>
      <c r="I1409" s="18">
        <f t="shared" si="2094"/>
        <v>356</v>
      </c>
      <c r="J1409" s="18">
        <f t="shared" ref="J1409:K1409" si="2095">J803</f>
        <v>289</v>
      </c>
      <c r="K1409" s="18">
        <f t="shared" si="2095"/>
        <v>247</v>
      </c>
      <c r="L1409" s="18">
        <f t="shared" ref="L1409:M1409" si="2096">L803</f>
        <v>235</v>
      </c>
      <c r="M1409" s="18">
        <f t="shared" si="2096"/>
        <v>234</v>
      </c>
      <c r="N1409" s="133">
        <f t="shared" si="2071"/>
        <v>2997</v>
      </c>
      <c r="O1409" s="19">
        <f t="shared" si="2072"/>
        <v>249.75</v>
      </c>
      <c r="P1409" s="96"/>
      <c r="Q1409" s="96"/>
      <c r="R1409" s="96"/>
      <c r="S1409" s="96"/>
      <c r="T1409" s="96"/>
      <c r="U1409" s="96"/>
      <c r="V1409" s="96"/>
      <c r="W1409" s="96"/>
      <c r="X1409" s="96"/>
      <c r="Y1409" s="96"/>
      <c r="Z1409" s="96"/>
    </row>
    <row r="1410" spans="1:26" s="9" customFormat="1" ht="15.75">
      <c r="A1410" s="37" t="s">
        <v>300</v>
      </c>
      <c r="B1410" s="18">
        <f t="shared" ref="B1410:G1410" si="2097">B873</f>
        <v>30</v>
      </c>
      <c r="C1410" s="18">
        <f t="shared" si="2097"/>
        <v>30</v>
      </c>
      <c r="D1410" s="18">
        <f t="shared" si="2097"/>
        <v>39</v>
      </c>
      <c r="E1410" s="18">
        <f t="shared" si="2097"/>
        <v>21</v>
      </c>
      <c r="F1410" s="18">
        <f t="shared" si="2097"/>
        <v>31</v>
      </c>
      <c r="G1410" s="18">
        <f t="shared" si="2097"/>
        <v>31</v>
      </c>
      <c r="H1410" s="18">
        <f t="shared" ref="H1410:I1410" si="2098">H873</f>
        <v>28</v>
      </c>
      <c r="I1410" s="18">
        <f t="shared" si="2098"/>
        <v>28</v>
      </c>
      <c r="J1410" s="18">
        <f t="shared" ref="J1410:K1410" si="2099">J873</f>
        <v>30</v>
      </c>
      <c r="K1410" s="18">
        <f t="shared" si="2099"/>
        <v>30</v>
      </c>
      <c r="L1410" s="18">
        <f t="shared" ref="L1410:M1410" si="2100">L873</f>
        <v>25</v>
      </c>
      <c r="M1410" s="18">
        <f t="shared" si="2100"/>
        <v>30</v>
      </c>
      <c r="N1410" s="133">
        <f t="shared" si="2071"/>
        <v>353</v>
      </c>
      <c r="O1410" s="19">
        <f t="shared" si="2072"/>
        <v>29.416666666666668</v>
      </c>
      <c r="P1410" s="96"/>
      <c r="Q1410" s="96"/>
      <c r="R1410" s="96"/>
      <c r="S1410" s="96"/>
      <c r="T1410" s="96"/>
      <c r="U1410" s="96"/>
      <c r="V1410" s="96"/>
      <c r="W1410" s="96"/>
      <c r="X1410" s="96"/>
      <c r="Y1410" s="96"/>
      <c r="Z1410" s="96"/>
    </row>
    <row r="1411" spans="1:26" s="9" customFormat="1" ht="15.75">
      <c r="A1411" s="34" t="s">
        <v>362</v>
      </c>
      <c r="B1411" s="65">
        <f t="shared" ref="B1411:G1411" si="2101">B903</f>
        <v>15662</v>
      </c>
      <c r="C1411" s="65">
        <f t="shared" si="2101"/>
        <v>16777</v>
      </c>
      <c r="D1411" s="65">
        <f t="shared" si="2101"/>
        <v>15551</v>
      </c>
      <c r="E1411" s="65">
        <f t="shared" si="2101"/>
        <v>16763</v>
      </c>
      <c r="F1411" s="65">
        <f t="shared" si="2101"/>
        <v>16951</v>
      </c>
      <c r="G1411" s="65">
        <f t="shared" si="2101"/>
        <v>17848</v>
      </c>
      <c r="H1411" s="65">
        <f t="shared" ref="H1411:I1411" si="2102">H903</f>
        <v>17861</v>
      </c>
      <c r="I1411" s="65">
        <f t="shared" si="2102"/>
        <v>30133</v>
      </c>
      <c r="J1411" s="65">
        <f t="shared" ref="J1411:K1411" si="2103">J903</f>
        <v>23515</v>
      </c>
      <c r="K1411" s="65">
        <f t="shared" si="2103"/>
        <v>22550</v>
      </c>
      <c r="L1411" s="65">
        <f t="shared" ref="L1411:M1411" si="2104">L903</f>
        <v>23619</v>
      </c>
      <c r="M1411" s="65">
        <f t="shared" si="2104"/>
        <v>23722</v>
      </c>
      <c r="N1411" s="133">
        <f t="shared" si="2071"/>
        <v>240952</v>
      </c>
      <c r="O1411" s="19">
        <f t="shared" si="2072"/>
        <v>20079.333333333332</v>
      </c>
      <c r="P1411" s="96"/>
      <c r="Q1411" s="96"/>
      <c r="R1411" s="96"/>
      <c r="S1411" s="96"/>
      <c r="T1411" s="96"/>
      <c r="U1411" s="96"/>
      <c r="V1411" s="96"/>
      <c r="W1411" s="96"/>
      <c r="X1411" s="96"/>
      <c r="Y1411" s="96"/>
      <c r="Z1411" s="96"/>
    </row>
    <row r="1412" spans="1:26" s="9" customFormat="1" ht="15.75">
      <c r="A1412" s="37" t="s">
        <v>296</v>
      </c>
      <c r="B1412" s="35">
        <f t="shared" ref="B1412:G1412" si="2105">B920</f>
        <v>22</v>
      </c>
      <c r="C1412" s="35">
        <f t="shared" si="2105"/>
        <v>20</v>
      </c>
      <c r="D1412" s="35">
        <f t="shared" si="2105"/>
        <v>12</v>
      </c>
      <c r="E1412" s="35">
        <f t="shared" si="2105"/>
        <v>11</v>
      </c>
      <c r="F1412" s="35">
        <f t="shared" si="2105"/>
        <v>14</v>
      </c>
      <c r="G1412" s="35">
        <f t="shared" si="2105"/>
        <v>18</v>
      </c>
      <c r="H1412" s="35">
        <f t="shared" ref="H1412:I1412" si="2106">H920</f>
        <v>18</v>
      </c>
      <c r="I1412" s="35">
        <f t="shared" si="2106"/>
        <v>20</v>
      </c>
      <c r="J1412" s="35">
        <f t="shared" ref="J1412:K1412" si="2107">J920</f>
        <v>15</v>
      </c>
      <c r="K1412" s="35">
        <f t="shared" si="2107"/>
        <v>17</v>
      </c>
      <c r="L1412" s="35">
        <f t="shared" ref="L1412:M1412" si="2108">L920</f>
        <v>17</v>
      </c>
      <c r="M1412" s="35">
        <f t="shared" si="2108"/>
        <v>24</v>
      </c>
      <c r="N1412" s="133">
        <f t="shared" si="2071"/>
        <v>208</v>
      </c>
      <c r="O1412" s="19">
        <f t="shared" si="2072"/>
        <v>17.333333333333332</v>
      </c>
      <c r="P1412" s="96"/>
      <c r="Q1412" s="96"/>
      <c r="R1412" s="96"/>
      <c r="S1412" s="96"/>
      <c r="T1412" s="96"/>
      <c r="U1412" s="96"/>
      <c r="V1412" s="96"/>
      <c r="W1412" s="96"/>
      <c r="X1412" s="96"/>
      <c r="Y1412" s="96"/>
      <c r="Z1412" s="96"/>
    </row>
    <row r="1413" spans="1:26" s="9" customFormat="1" ht="15.75">
      <c r="A1413" s="37" t="s">
        <v>291</v>
      </c>
      <c r="B1413" s="18">
        <f t="shared" ref="B1413:G1413" si="2109">B937</f>
        <v>78</v>
      </c>
      <c r="C1413" s="18">
        <f t="shared" si="2109"/>
        <v>96</v>
      </c>
      <c r="D1413" s="18">
        <f t="shared" si="2109"/>
        <v>71</v>
      </c>
      <c r="E1413" s="18">
        <f t="shared" si="2109"/>
        <v>73</v>
      </c>
      <c r="F1413" s="18">
        <f t="shared" si="2109"/>
        <v>119</v>
      </c>
      <c r="G1413" s="18">
        <f t="shared" si="2109"/>
        <v>82</v>
      </c>
      <c r="H1413" s="18">
        <f t="shared" ref="H1413:I1413" si="2110">H937</f>
        <v>99</v>
      </c>
      <c r="I1413" s="18">
        <f t="shared" si="2110"/>
        <v>110</v>
      </c>
      <c r="J1413" s="18">
        <f t="shared" ref="J1413:K1413" si="2111">J937</f>
        <v>116</v>
      </c>
      <c r="K1413" s="18">
        <f t="shared" si="2111"/>
        <v>80</v>
      </c>
      <c r="L1413" s="18">
        <f t="shared" ref="L1413:M1413" si="2112">L937</f>
        <v>82</v>
      </c>
      <c r="M1413" s="18">
        <f t="shared" si="2112"/>
        <v>61</v>
      </c>
      <c r="N1413" s="133">
        <f t="shared" si="2071"/>
        <v>1067</v>
      </c>
      <c r="O1413" s="19">
        <f t="shared" si="2072"/>
        <v>88.916666666666671</v>
      </c>
      <c r="P1413" s="96"/>
      <c r="Q1413" s="96"/>
      <c r="R1413" s="96"/>
      <c r="S1413" s="96"/>
      <c r="T1413" s="96"/>
      <c r="U1413" s="96"/>
      <c r="V1413" s="96"/>
      <c r="W1413" s="96"/>
      <c r="X1413" s="96"/>
      <c r="Y1413" s="96"/>
      <c r="Z1413" s="96"/>
    </row>
    <row r="1414" spans="1:26" s="9" customFormat="1" ht="15.75">
      <c r="A1414" s="37" t="s">
        <v>182</v>
      </c>
      <c r="B1414" s="18">
        <f t="shared" ref="B1414:G1414" si="2113">B1039</f>
        <v>200</v>
      </c>
      <c r="C1414" s="18">
        <f t="shared" si="2113"/>
        <v>345</v>
      </c>
      <c r="D1414" s="18">
        <f t="shared" si="2113"/>
        <v>200</v>
      </c>
      <c r="E1414" s="18">
        <f t="shared" si="2113"/>
        <v>258</v>
      </c>
      <c r="F1414" s="18">
        <f t="shared" si="2113"/>
        <v>377</v>
      </c>
      <c r="G1414" s="18">
        <f t="shared" si="2113"/>
        <v>403</v>
      </c>
      <c r="H1414" s="18">
        <f t="shared" ref="H1414:I1414" si="2114">H1039</f>
        <v>425</v>
      </c>
      <c r="I1414" s="18">
        <f t="shared" si="2114"/>
        <v>437</v>
      </c>
      <c r="J1414" s="18">
        <f t="shared" ref="J1414:K1414" si="2115">J1039</f>
        <v>515</v>
      </c>
      <c r="K1414" s="18">
        <f t="shared" si="2115"/>
        <v>479</v>
      </c>
      <c r="L1414" s="18">
        <f t="shared" ref="L1414:M1414" si="2116">L1039</f>
        <v>377</v>
      </c>
      <c r="M1414" s="18">
        <f t="shared" si="2116"/>
        <v>500</v>
      </c>
      <c r="N1414" s="133">
        <f t="shared" si="2071"/>
        <v>4516</v>
      </c>
      <c r="O1414" s="19">
        <f t="shared" si="2072"/>
        <v>376.33333333333331</v>
      </c>
      <c r="P1414" s="96"/>
      <c r="Q1414" s="96"/>
      <c r="R1414" s="96"/>
      <c r="S1414" s="96"/>
      <c r="T1414" s="96"/>
      <c r="U1414" s="96"/>
      <c r="V1414" s="96"/>
      <c r="W1414" s="96"/>
      <c r="X1414" s="96"/>
      <c r="Y1414" s="96"/>
      <c r="Z1414" s="96"/>
    </row>
    <row r="1415" spans="1:26" s="9" customFormat="1" ht="15.75">
      <c r="A1415" s="37" t="s">
        <v>292</v>
      </c>
      <c r="B1415" s="18">
        <f t="shared" ref="B1415:G1415" si="2117">B1101</f>
        <v>42</v>
      </c>
      <c r="C1415" s="18">
        <f t="shared" si="2117"/>
        <v>43</v>
      </c>
      <c r="D1415" s="18">
        <f t="shared" si="2117"/>
        <v>37</v>
      </c>
      <c r="E1415" s="18">
        <f t="shared" si="2117"/>
        <v>38</v>
      </c>
      <c r="F1415" s="18">
        <f t="shared" si="2117"/>
        <v>50</v>
      </c>
      <c r="G1415" s="18">
        <f t="shared" si="2117"/>
        <v>57</v>
      </c>
      <c r="H1415" s="18">
        <f t="shared" ref="H1415:I1415" si="2118">H1101</f>
        <v>52</v>
      </c>
      <c r="I1415" s="18">
        <f t="shared" si="2118"/>
        <v>70</v>
      </c>
      <c r="J1415" s="18">
        <f t="shared" ref="J1415:K1415" si="2119">J1101</f>
        <v>70</v>
      </c>
      <c r="K1415" s="18">
        <f t="shared" si="2119"/>
        <v>70</v>
      </c>
      <c r="L1415" s="18">
        <f t="shared" ref="L1415:M1415" si="2120">L1101</f>
        <v>89</v>
      </c>
      <c r="M1415" s="18">
        <f t="shared" si="2120"/>
        <v>66</v>
      </c>
      <c r="N1415" s="133">
        <f t="shared" si="2071"/>
        <v>684</v>
      </c>
      <c r="O1415" s="19">
        <f t="shared" si="2072"/>
        <v>57</v>
      </c>
      <c r="P1415" s="96"/>
      <c r="Q1415" s="96"/>
      <c r="R1415" s="96"/>
      <c r="S1415" s="96"/>
      <c r="T1415" s="96"/>
      <c r="U1415" s="96"/>
      <c r="V1415" s="96"/>
      <c r="W1415" s="96"/>
      <c r="X1415" s="96"/>
      <c r="Y1415" s="96"/>
      <c r="Z1415" s="96"/>
    </row>
    <row r="1416" spans="1:26" s="9" customFormat="1" ht="15.75">
      <c r="A1416" s="50" t="s">
        <v>183</v>
      </c>
      <c r="B1416" s="18">
        <f t="shared" ref="B1416:G1416" si="2121">B1167</f>
        <v>102</v>
      </c>
      <c r="C1416" s="18">
        <f t="shared" si="2121"/>
        <v>84</v>
      </c>
      <c r="D1416" s="18">
        <f t="shared" si="2121"/>
        <v>103</v>
      </c>
      <c r="E1416" s="18">
        <f t="shared" si="2121"/>
        <v>78</v>
      </c>
      <c r="F1416" s="18">
        <f t="shared" si="2121"/>
        <v>123</v>
      </c>
      <c r="G1416" s="18">
        <f t="shared" si="2121"/>
        <v>125</v>
      </c>
      <c r="H1416" s="18">
        <f t="shared" ref="H1416:I1416" si="2122">H1167</f>
        <v>61</v>
      </c>
      <c r="I1416" s="18">
        <f t="shared" si="2122"/>
        <v>108</v>
      </c>
      <c r="J1416" s="18">
        <f t="shared" ref="J1416:K1416" si="2123">J1167</f>
        <v>150</v>
      </c>
      <c r="K1416" s="18">
        <f t="shared" si="2123"/>
        <v>122</v>
      </c>
      <c r="L1416" s="18">
        <f t="shared" ref="L1416:M1416" si="2124">L1167</f>
        <v>69</v>
      </c>
      <c r="M1416" s="18">
        <f t="shared" si="2124"/>
        <v>109</v>
      </c>
      <c r="N1416" s="133">
        <f t="shared" si="2071"/>
        <v>1234</v>
      </c>
      <c r="O1416" s="19">
        <f t="shared" si="2072"/>
        <v>102.83333333333333</v>
      </c>
      <c r="P1416" s="96"/>
      <c r="Q1416" s="96"/>
      <c r="R1416" s="96"/>
      <c r="S1416" s="96"/>
      <c r="T1416" s="96"/>
      <c r="U1416" s="96"/>
      <c r="V1416" s="96"/>
      <c r="W1416" s="96"/>
      <c r="X1416" s="96"/>
      <c r="Y1416" s="96"/>
      <c r="Z1416" s="96"/>
    </row>
    <row r="1417" spans="1:26" s="127" customFormat="1" ht="15.75">
      <c r="A1417" s="50" t="s">
        <v>184</v>
      </c>
      <c r="B1417" s="18">
        <f t="shared" ref="B1417:G1417" si="2125">B1212</f>
        <v>198</v>
      </c>
      <c r="C1417" s="18">
        <f t="shared" si="2125"/>
        <v>196</v>
      </c>
      <c r="D1417" s="18">
        <f t="shared" si="2125"/>
        <v>133</v>
      </c>
      <c r="E1417" s="18">
        <f t="shared" si="2125"/>
        <v>158</v>
      </c>
      <c r="F1417" s="18">
        <f t="shared" si="2125"/>
        <v>194</v>
      </c>
      <c r="G1417" s="18">
        <f t="shared" si="2125"/>
        <v>217</v>
      </c>
      <c r="H1417" s="18">
        <f t="shared" ref="H1417:I1417" si="2126">H1212</f>
        <v>252</v>
      </c>
      <c r="I1417" s="18">
        <f t="shared" si="2126"/>
        <v>230</v>
      </c>
      <c r="J1417" s="18">
        <f t="shared" ref="J1417:K1417" si="2127">J1212</f>
        <v>209</v>
      </c>
      <c r="K1417" s="18">
        <f t="shared" si="2127"/>
        <v>211</v>
      </c>
      <c r="L1417" s="18">
        <f t="shared" ref="L1417:M1417" si="2128">L1212</f>
        <v>230</v>
      </c>
      <c r="M1417" s="18">
        <f t="shared" si="2128"/>
        <v>186</v>
      </c>
      <c r="N1417" s="133">
        <f t="shared" si="2071"/>
        <v>2414</v>
      </c>
      <c r="O1417" s="19">
        <f t="shared" si="2072"/>
        <v>201.16666666666666</v>
      </c>
      <c r="P1417" s="126"/>
      <c r="Q1417" s="126"/>
      <c r="R1417" s="126"/>
      <c r="S1417" s="126"/>
      <c r="T1417" s="126"/>
      <c r="U1417" s="126"/>
      <c r="V1417" s="126"/>
      <c r="W1417" s="126"/>
      <c r="X1417" s="126"/>
      <c r="Y1417" s="126"/>
      <c r="Z1417" s="126"/>
    </row>
    <row r="1418" spans="1:26" s="9" customFormat="1" ht="15.75">
      <c r="A1418" s="34" t="s">
        <v>322</v>
      </c>
      <c r="B1418" s="18">
        <f t="shared" ref="B1418:G1418" si="2129">B1257</f>
        <v>0</v>
      </c>
      <c r="C1418" s="18">
        <f t="shared" si="2129"/>
        <v>0</v>
      </c>
      <c r="D1418" s="18">
        <f t="shared" si="2129"/>
        <v>0</v>
      </c>
      <c r="E1418" s="18">
        <f t="shared" si="2129"/>
        <v>0</v>
      </c>
      <c r="F1418" s="18">
        <f t="shared" si="2129"/>
        <v>0</v>
      </c>
      <c r="G1418" s="18">
        <f t="shared" si="2129"/>
        <v>1</v>
      </c>
      <c r="H1418" s="18">
        <f t="shared" ref="H1418:I1418" si="2130">H1257</f>
        <v>0</v>
      </c>
      <c r="I1418" s="18">
        <f t="shared" si="2130"/>
        <v>0</v>
      </c>
      <c r="J1418" s="18">
        <f t="shared" ref="J1418:K1418" si="2131">J1257</f>
        <v>0</v>
      </c>
      <c r="K1418" s="18">
        <f t="shared" si="2131"/>
        <v>0</v>
      </c>
      <c r="L1418" s="18">
        <f t="shared" ref="L1418:M1418" si="2132">L1257</f>
        <v>0</v>
      </c>
      <c r="M1418" s="18">
        <f t="shared" si="2132"/>
        <v>0</v>
      </c>
      <c r="N1418" s="133">
        <f t="shared" si="2071"/>
        <v>1</v>
      </c>
      <c r="O1418" s="19">
        <f t="shared" si="2072"/>
        <v>8.3333333333333329E-2</v>
      </c>
      <c r="P1418" s="96"/>
      <c r="Q1418" s="96"/>
      <c r="R1418" s="96"/>
      <c r="S1418" s="96"/>
      <c r="T1418" s="96"/>
      <c r="U1418" s="96"/>
      <c r="V1418" s="96"/>
      <c r="W1418" s="96"/>
      <c r="X1418" s="96"/>
      <c r="Y1418" s="96"/>
      <c r="Z1418" s="96"/>
    </row>
    <row r="1419" spans="1:26" s="9" customFormat="1" ht="15.75">
      <c r="A1419" s="67" t="s">
        <v>21</v>
      </c>
      <c r="B1419" s="21">
        <f t="shared" ref="B1419:G1419" si="2133">SUM(B1402:B1418)</f>
        <v>17108</v>
      </c>
      <c r="C1419" s="21">
        <f t="shared" si="2133"/>
        <v>18543</v>
      </c>
      <c r="D1419" s="21">
        <f t="shared" si="2133"/>
        <v>16727</v>
      </c>
      <c r="E1419" s="21">
        <f t="shared" si="2133"/>
        <v>17545</v>
      </c>
      <c r="F1419" s="21">
        <f t="shared" si="2133"/>
        <v>18197</v>
      </c>
      <c r="G1419" s="21">
        <f t="shared" si="2133"/>
        <v>19380</v>
      </c>
      <c r="H1419" s="21">
        <f t="shared" ref="H1419:I1419" si="2134">SUM(H1402:H1418)</f>
        <v>19698</v>
      </c>
      <c r="I1419" s="21">
        <f t="shared" si="2134"/>
        <v>32081</v>
      </c>
      <c r="J1419" s="21">
        <f t="shared" ref="J1419:K1419" si="2135">SUM(J1402:J1418)</f>
        <v>25445</v>
      </c>
      <c r="K1419" s="21">
        <f t="shared" si="2135"/>
        <v>24319</v>
      </c>
      <c r="L1419" s="21">
        <f t="shared" ref="L1419:M1419" si="2136">SUM(L1402:L1418)</f>
        <v>25195</v>
      </c>
      <c r="M1419" s="21">
        <f t="shared" si="2136"/>
        <v>25522</v>
      </c>
      <c r="N1419" s="139">
        <f>SUM(N1402:N1418)</f>
        <v>259760</v>
      </c>
      <c r="O1419" s="45">
        <f>SUM(O1402:O1417)</f>
        <v>21646.583333333332</v>
      </c>
      <c r="P1419" s="96"/>
      <c r="Q1419" s="96"/>
      <c r="R1419" s="96"/>
      <c r="S1419" s="96"/>
      <c r="T1419" s="96"/>
      <c r="U1419" s="96"/>
      <c r="V1419" s="96"/>
      <c r="W1419" s="96"/>
      <c r="X1419" s="96"/>
      <c r="Y1419" s="96"/>
      <c r="Z1419" s="96"/>
    </row>
    <row r="1420" spans="1:26" s="9" customFormat="1">
      <c r="A1420" s="236"/>
      <c r="B1420" s="243"/>
      <c r="C1420" s="243"/>
      <c r="D1420" s="243"/>
      <c r="E1420" s="243"/>
      <c r="F1420" s="243"/>
      <c r="G1420" s="243"/>
      <c r="H1420" s="243"/>
      <c r="I1420" s="243"/>
      <c r="J1420" s="243"/>
      <c r="K1420" s="243"/>
      <c r="L1420" s="243"/>
      <c r="M1420" s="243"/>
      <c r="N1420" s="244"/>
      <c r="O1420" s="49"/>
      <c r="P1420" s="96"/>
      <c r="Q1420" s="96"/>
      <c r="R1420" s="96"/>
      <c r="S1420" s="96"/>
      <c r="T1420" s="96"/>
      <c r="U1420" s="96"/>
      <c r="V1420" s="96"/>
      <c r="W1420" s="96"/>
      <c r="X1420" s="96"/>
      <c r="Y1420" s="96"/>
      <c r="Z1420" s="96"/>
    </row>
    <row r="1421" spans="1:26" s="191" customFormat="1" ht="15.75">
      <c r="A1421" s="117" t="s">
        <v>804</v>
      </c>
      <c r="B1421" s="242">
        <f t="shared" ref="B1421:G1421" si="2137">B1398</f>
        <v>6618</v>
      </c>
      <c r="C1421" s="242">
        <f t="shared" si="2137"/>
        <v>7208</v>
      </c>
      <c r="D1421" s="242">
        <f t="shared" si="2137"/>
        <v>8207</v>
      </c>
      <c r="E1421" s="242">
        <f t="shared" si="2137"/>
        <v>7810</v>
      </c>
      <c r="F1421" s="242">
        <f t="shared" si="2137"/>
        <v>8735</v>
      </c>
      <c r="G1421" s="242">
        <f t="shared" si="2137"/>
        <v>8001</v>
      </c>
      <c r="H1421" s="242">
        <f t="shared" ref="H1421:I1421" si="2138">H1398</f>
        <v>10412</v>
      </c>
      <c r="I1421" s="242">
        <f t="shared" si="2138"/>
        <v>9786</v>
      </c>
      <c r="J1421" s="242">
        <f t="shared" ref="J1421:K1421" si="2139">J1398</f>
        <v>8334</v>
      </c>
      <c r="K1421" s="242">
        <f t="shared" si="2139"/>
        <v>8932</v>
      </c>
      <c r="L1421" s="242">
        <f t="shared" ref="L1421:M1421" si="2140">L1398</f>
        <v>10076</v>
      </c>
      <c r="M1421" s="242">
        <f t="shared" si="2140"/>
        <v>9916</v>
      </c>
      <c r="N1421" s="138">
        <f>SUM(B1421:M1421)</f>
        <v>104035</v>
      </c>
      <c r="O1421" s="42">
        <f>AVERAGE(B1421:M1421)</f>
        <v>8669.5833333333339</v>
      </c>
    </row>
    <row r="1422" spans="1:26" s="9" customFormat="1" ht="15.75">
      <c r="A1422" s="117" t="s">
        <v>805</v>
      </c>
      <c r="B1422" s="242">
        <f t="shared" ref="B1422:C1422" si="2141">B1419</f>
        <v>17108</v>
      </c>
      <c r="C1422" s="242">
        <f t="shared" si="2141"/>
        <v>18543</v>
      </c>
      <c r="D1422" s="242">
        <f t="shared" ref="D1422:E1422" si="2142">D1419</f>
        <v>16727</v>
      </c>
      <c r="E1422" s="242">
        <f t="shared" si="2142"/>
        <v>17545</v>
      </c>
      <c r="F1422" s="242">
        <f t="shared" ref="F1422:G1422" si="2143">F1419</f>
        <v>18197</v>
      </c>
      <c r="G1422" s="242">
        <f t="shared" si="2143"/>
        <v>19380</v>
      </c>
      <c r="H1422" s="242">
        <f t="shared" ref="H1422:I1422" si="2144">H1419</f>
        <v>19698</v>
      </c>
      <c r="I1422" s="242">
        <f t="shared" si="2144"/>
        <v>32081</v>
      </c>
      <c r="J1422" s="242">
        <f t="shared" ref="J1422:K1422" si="2145">J1419</f>
        <v>25445</v>
      </c>
      <c r="K1422" s="242">
        <f t="shared" si="2145"/>
        <v>24319</v>
      </c>
      <c r="L1422" s="242">
        <f t="shared" ref="L1422:M1422" si="2146">L1419</f>
        <v>25195</v>
      </c>
      <c r="M1422" s="242">
        <f t="shared" si="2146"/>
        <v>25522</v>
      </c>
      <c r="N1422" s="138">
        <f>SUM(B1422:M1422)</f>
        <v>259760</v>
      </c>
      <c r="O1422" s="42">
        <f>AVERAGE(B1422:M1422)</f>
        <v>21646.666666666668</v>
      </c>
      <c r="P1422" s="96"/>
      <c r="Q1422" s="96"/>
      <c r="R1422" s="96"/>
      <c r="S1422" s="96"/>
      <c r="T1422" s="96"/>
      <c r="U1422" s="96"/>
      <c r="V1422" s="96"/>
      <c r="W1422" s="96"/>
      <c r="X1422" s="96"/>
      <c r="Y1422" s="96"/>
      <c r="Z1422" s="96"/>
    </row>
    <row r="1423" spans="1:26" s="9" customFormat="1" ht="15.75">
      <c r="A1423" s="245" t="s">
        <v>806</v>
      </c>
      <c r="B1423" s="44">
        <f t="shared" ref="B1423:C1423" si="2147">SUM(B1421:B1422)</f>
        <v>23726</v>
      </c>
      <c r="C1423" s="44">
        <f t="shared" si="2147"/>
        <v>25751</v>
      </c>
      <c r="D1423" s="44">
        <f t="shared" ref="D1423:E1423" si="2148">SUM(D1421:D1422)</f>
        <v>24934</v>
      </c>
      <c r="E1423" s="44">
        <f t="shared" si="2148"/>
        <v>25355</v>
      </c>
      <c r="F1423" s="44">
        <f t="shared" ref="F1423:G1423" si="2149">SUM(F1421:F1422)</f>
        <v>26932</v>
      </c>
      <c r="G1423" s="44">
        <f t="shared" si="2149"/>
        <v>27381</v>
      </c>
      <c r="H1423" s="44">
        <f t="shared" ref="H1423:I1423" si="2150">SUM(H1421:H1422)</f>
        <v>30110</v>
      </c>
      <c r="I1423" s="44">
        <f t="shared" si="2150"/>
        <v>41867</v>
      </c>
      <c r="J1423" s="44">
        <f t="shared" ref="J1423:K1423" si="2151">SUM(J1421:J1422)</f>
        <v>33779</v>
      </c>
      <c r="K1423" s="44">
        <f t="shared" si="2151"/>
        <v>33251</v>
      </c>
      <c r="L1423" s="44">
        <f t="shared" ref="L1423:M1423" si="2152">SUM(L1421:L1422)</f>
        <v>35271</v>
      </c>
      <c r="M1423" s="44">
        <f t="shared" si="2152"/>
        <v>35438</v>
      </c>
      <c r="N1423" s="45">
        <f>SUM(B1423:M1423)</f>
        <v>363795</v>
      </c>
      <c r="O1423" s="45">
        <f>AVERAGE(B1423:M1423)</f>
        <v>30316.25</v>
      </c>
      <c r="P1423" s="96"/>
      <c r="Q1423" s="96"/>
      <c r="R1423" s="96"/>
      <c r="S1423" s="96"/>
      <c r="T1423" s="96"/>
      <c r="U1423" s="96"/>
      <c r="V1423" s="96"/>
      <c r="W1423" s="96"/>
      <c r="X1423" s="96"/>
      <c r="Y1423" s="96"/>
      <c r="Z1423" s="96"/>
    </row>
    <row r="1424" spans="1:26" s="9" customFormat="1">
      <c r="A1424" s="223"/>
      <c r="B1424" s="224"/>
      <c r="C1424" s="224"/>
      <c r="D1424" s="224"/>
      <c r="E1424" s="224"/>
      <c r="F1424" s="224"/>
      <c r="G1424" s="224"/>
      <c r="H1424" s="224"/>
      <c r="I1424" s="224"/>
      <c r="J1424" s="224"/>
      <c r="K1424" s="224"/>
      <c r="L1424" s="224"/>
      <c r="M1424" s="224"/>
      <c r="N1424" s="225"/>
      <c r="O1424" s="226"/>
    </row>
    <row r="1425" spans="1:26" s="9" customFormat="1" ht="15.75">
      <c r="A1425" s="14" t="s">
        <v>807</v>
      </c>
      <c r="B1425" s="15"/>
      <c r="C1425" s="15"/>
      <c r="D1425" s="15"/>
      <c r="E1425" s="15"/>
      <c r="F1425" s="15"/>
      <c r="G1425" s="15"/>
      <c r="H1425" s="15"/>
      <c r="I1425" s="15"/>
      <c r="J1425" s="15"/>
      <c r="K1425" s="15"/>
      <c r="L1425" s="15"/>
      <c r="M1425" s="15"/>
      <c r="N1425" s="132"/>
      <c r="O1425" s="16"/>
    </row>
    <row r="1426" spans="1:26" s="9" customFormat="1" ht="15.75">
      <c r="A1426" s="184" t="s">
        <v>808</v>
      </c>
      <c r="B1426" s="178"/>
      <c r="C1426" s="178"/>
      <c r="D1426" s="178"/>
      <c r="E1426" s="178"/>
      <c r="F1426" s="178"/>
      <c r="G1426" s="178"/>
      <c r="H1426" s="178"/>
      <c r="I1426" s="178"/>
      <c r="J1426" s="178"/>
      <c r="K1426" s="178"/>
      <c r="L1426" s="178"/>
      <c r="M1426" s="178"/>
      <c r="N1426" s="185"/>
      <c r="O1426" s="186"/>
      <c r="P1426" s="96"/>
      <c r="Q1426" s="96"/>
      <c r="R1426" s="96"/>
      <c r="S1426" s="96"/>
      <c r="T1426" s="96"/>
      <c r="U1426" s="96"/>
      <c r="V1426" s="96"/>
      <c r="W1426" s="96"/>
      <c r="X1426" s="96"/>
      <c r="Y1426" s="96"/>
      <c r="Z1426" s="96"/>
    </row>
    <row r="1427" spans="1:26" s="9" customFormat="1" ht="15.75">
      <c r="A1427" s="41" t="s">
        <v>332</v>
      </c>
      <c r="B1427" s="35">
        <f t="shared" ref="B1427:G1427" si="2153">B1273</f>
        <v>1196</v>
      </c>
      <c r="C1427" s="35">
        <f t="shared" si="2153"/>
        <v>1058</v>
      </c>
      <c r="D1427" s="35">
        <f t="shared" si="2153"/>
        <v>1029</v>
      </c>
      <c r="E1427" s="35">
        <f t="shared" si="2153"/>
        <v>910</v>
      </c>
      <c r="F1427" s="35">
        <f t="shared" si="2153"/>
        <v>782</v>
      </c>
      <c r="G1427" s="35">
        <f t="shared" si="2153"/>
        <v>772</v>
      </c>
      <c r="H1427" s="35">
        <f t="shared" ref="H1427:I1427" si="2154">H1273</f>
        <v>930</v>
      </c>
      <c r="I1427" s="35">
        <f t="shared" si="2154"/>
        <v>895</v>
      </c>
      <c r="J1427" s="35">
        <f t="shared" ref="J1427:K1427" si="2155">J1273</f>
        <v>776</v>
      </c>
      <c r="K1427" s="35">
        <f t="shared" si="2155"/>
        <v>817</v>
      </c>
      <c r="L1427" s="35">
        <f t="shared" ref="L1427:M1427" si="2156">L1273</f>
        <v>876</v>
      </c>
      <c r="M1427" s="35">
        <f t="shared" si="2156"/>
        <v>940</v>
      </c>
      <c r="N1427" s="138">
        <f t="shared" ref="N1427:N1431" si="2157">SUM(B1427:M1427)</f>
        <v>10981</v>
      </c>
      <c r="O1427" s="42">
        <f t="shared" ref="O1427:O1431" si="2158">AVERAGE(B1427:M1427)</f>
        <v>915.08333333333337</v>
      </c>
      <c r="P1427" s="96"/>
      <c r="Q1427" s="96"/>
      <c r="R1427" s="96"/>
      <c r="S1427" s="96"/>
      <c r="T1427" s="96"/>
      <c r="U1427" s="96"/>
      <c r="V1427" s="96"/>
      <c r="W1427" s="96"/>
      <c r="X1427" s="96"/>
      <c r="Y1427" s="96"/>
      <c r="Z1427" s="96"/>
    </row>
    <row r="1428" spans="1:26" s="9" customFormat="1" ht="15.75">
      <c r="A1428" s="41" t="s">
        <v>333</v>
      </c>
      <c r="B1428" s="35">
        <f t="shared" ref="B1428:G1428" si="2159">B1293</f>
        <v>126</v>
      </c>
      <c r="C1428" s="35">
        <f t="shared" si="2159"/>
        <v>138</v>
      </c>
      <c r="D1428" s="35">
        <f t="shared" si="2159"/>
        <v>131</v>
      </c>
      <c r="E1428" s="35">
        <f t="shared" si="2159"/>
        <v>102</v>
      </c>
      <c r="F1428" s="35">
        <f t="shared" si="2159"/>
        <v>88</v>
      </c>
      <c r="G1428" s="35">
        <f t="shared" si="2159"/>
        <v>92</v>
      </c>
      <c r="H1428" s="35">
        <f t="shared" ref="H1428:I1428" si="2160">H1293</f>
        <v>124</v>
      </c>
      <c r="I1428" s="35">
        <f t="shared" si="2160"/>
        <v>108</v>
      </c>
      <c r="J1428" s="35">
        <f t="shared" ref="J1428:K1428" si="2161">J1293</f>
        <v>100</v>
      </c>
      <c r="K1428" s="35">
        <f t="shared" si="2161"/>
        <v>60</v>
      </c>
      <c r="L1428" s="35">
        <f t="shared" ref="L1428:M1428" si="2162">L1293</f>
        <v>100</v>
      </c>
      <c r="M1428" s="35">
        <f t="shared" si="2162"/>
        <v>49</v>
      </c>
      <c r="N1428" s="138">
        <f t="shared" si="2157"/>
        <v>1218</v>
      </c>
      <c r="O1428" s="42">
        <f t="shared" si="2158"/>
        <v>101.5</v>
      </c>
      <c r="P1428" s="96"/>
      <c r="Q1428" s="96"/>
      <c r="R1428" s="96"/>
      <c r="S1428" s="96"/>
      <c r="T1428" s="96"/>
      <c r="U1428" s="96"/>
      <c r="V1428" s="96"/>
      <c r="W1428" s="96"/>
      <c r="X1428" s="96"/>
      <c r="Y1428" s="96"/>
      <c r="Z1428" s="96"/>
    </row>
    <row r="1429" spans="1:26" s="9" customFormat="1" ht="15.75">
      <c r="A1429" s="41" t="s">
        <v>186</v>
      </c>
      <c r="B1429" s="35">
        <f t="shared" ref="B1429:G1429" si="2163">B1312</f>
        <v>41</v>
      </c>
      <c r="C1429" s="35">
        <f t="shared" si="2163"/>
        <v>54</v>
      </c>
      <c r="D1429" s="35">
        <f t="shared" si="2163"/>
        <v>40</v>
      </c>
      <c r="E1429" s="35">
        <f t="shared" si="2163"/>
        <v>29</v>
      </c>
      <c r="F1429" s="35">
        <f t="shared" si="2163"/>
        <v>115</v>
      </c>
      <c r="G1429" s="35">
        <f t="shared" si="2163"/>
        <v>57</v>
      </c>
      <c r="H1429" s="35">
        <f t="shared" ref="H1429:I1429" si="2164">H1312</f>
        <v>45</v>
      </c>
      <c r="I1429" s="35">
        <f t="shared" si="2164"/>
        <v>66</v>
      </c>
      <c r="J1429" s="35">
        <f t="shared" ref="J1429:K1429" si="2165">J1312</f>
        <v>103</v>
      </c>
      <c r="K1429" s="35">
        <f t="shared" si="2165"/>
        <v>57</v>
      </c>
      <c r="L1429" s="35">
        <f t="shared" ref="L1429:M1429" si="2166">L1312</f>
        <v>66</v>
      </c>
      <c r="M1429" s="35">
        <f t="shared" si="2166"/>
        <v>59</v>
      </c>
      <c r="N1429" s="138">
        <f t="shared" si="2157"/>
        <v>732</v>
      </c>
      <c r="O1429" s="42">
        <f t="shared" si="2158"/>
        <v>61</v>
      </c>
      <c r="P1429" s="96"/>
      <c r="Q1429" s="96"/>
      <c r="R1429" s="96"/>
      <c r="S1429" s="96"/>
      <c r="T1429" s="96"/>
      <c r="U1429" s="96"/>
      <c r="V1429" s="96"/>
      <c r="W1429" s="96"/>
      <c r="X1429" s="96"/>
      <c r="Y1429" s="96"/>
      <c r="Z1429" s="96"/>
    </row>
    <row r="1430" spans="1:26" s="9" customFormat="1" ht="15.75">
      <c r="A1430" s="41" t="s">
        <v>290</v>
      </c>
      <c r="B1430" s="35">
        <f t="shared" ref="B1430:G1430" si="2167">B1321</f>
        <v>31</v>
      </c>
      <c r="C1430" s="35">
        <f t="shared" si="2167"/>
        <v>29</v>
      </c>
      <c r="D1430" s="35">
        <f t="shared" si="2167"/>
        <v>45</v>
      </c>
      <c r="E1430" s="35">
        <f t="shared" si="2167"/>
        <v>26</v>
      </c>
      <c r="F1430" s="35">
        <f t="shared" si="2167"/>
        <v>17</v>
      </c>
      <c r="G1430" s="35">
        <f t="shared" si="2167"/>
        <v>35</v>
      </c>
      <c r="H1430" s="35">
        <f t="shared" ref="H1430:I1430" si="2168">H1321</f>
        <v>61</v>
      </c>
      <c r="I1430" s="35">
        <f t="shared" si="2168"/>
        <v>34</v>
      </c>
      <c r="J1430" s="35">
        <f t="shared" ref="J1430:K1430" si="2169">J1321</f>
        <v>29</v>
      </c>
      <c r="K1430" s="35">
        <f t="shared" si="2169"/>
        <v>50</v>
      </c>
      <c r="L1430" s="35">
        <f t="shared" ref="L1430:M1430" si="2170">L1321</f>
        <v>41</v>
      </c>
      <c r="M1430" s="35">
        <f t="shared" si="2170"/>
        <v>16</v>
      </c>
      <c r="N1430" s="138">
        <f t="shared" si="2157"/>
        <v>414</v>
      </c>
      <c r="O1430" s="42">
        <f t="shared" si="2158"/>
        <v>34.5</v>
      </c>
    </row>
    <row r="1431" spans="1:26" s="9" customFormat="1" ht="15.75">
      <c r="A1431" s="41" t="s">
        <v>302</v>
      </c>
      <c r="B1431" s="35">
        <f t="shared" ref="B1431:G1431" si="2171">B1339</f>
        <v>30</v>
      </c>
      <c r="C1431" s="35">
        <f t="shared" si="2171"/>
        <v>29</v>
      </c>
      <c r="D1431" s="35">
        <f t="shared" si="2171"/>
        <v>34</v>
      </c>
      <c r="E1431" s="35">
        <f t="shared" si="2171"/>
        <v>25</v>
      </c>
      <c r="F1431" s="35">
        <f t="shared" si="2171"/>
        <v>37</v>
      </c>
      <c r="G1431" s="35">
        <f t="shared" si="2171"/>
        <v>38</v>
      </c>
      <c r="H1431" s="35">
        <f t="shared" ref="H1431:I1431" si="2172">H1339</f>
        <v>23</v>
      </c>
      <c r="I1431" s="35">
        <f t="shared" si="2172"/>
        <v>25</v>
      </c>
      <c r="J1431" s="35">
        <f t="shared" ref="J1431:K1431" si="2173">J1339</f>
        <v>35</v>
      </c>
      <c r="K1431" s="35">
        <f t="shared" si="2173"/>
        <v>26</v>
      </c>
      <c r="L1431" s="35">
        <f t="shared" ref="L1431:M1431" si="2174">L1339</f>
        <v>30</v>
      </c>
      <c r="M1431" s="35">
        <f t="shared" si="2174"/>
        <v>24</v>
      </c>
      <c r="N1431" s="138">
        <f t="shared" si="2157"/>
        <v>356</v>
      </c>
      <c r="O1431" s="42">
        <f t="shared" si="2158"/>
        <v>29.666666666666668</v>
      </c>
      <c r="P1431" s="96"/>
      <c r="Q1431" s="96"/>
      <c r="R1431" s="96"/>
      <c r="S1431" s="96"/>
      <c r="T1431" s="96"/>
      <c r="U1431" s="96"/>
      <c r="V1431" s="96"/>
      <c r="W1431" s="96"/>
      <c r="X1431" s="96"/>
      <c r="Y1431" s="96"/>
      <c r="Z1431" s="96"/>
    </row>
    <row r="1432" spans="1:26" s="9" customFormat="1" ht="15.75">
      <c r="A1432" s="41" t="s">
        <v>814</v>
      </c>
      <c r="B1432" s="35">
        <f t="shared" ref="B1432:G1432" si="2175">B1355</f>
        <v>10</v>
      </c>
      <c r="C1432" s="35">
        <f t="shared" si="2175"/>
        <v>5</v>
      </c>
      <c r="D1432" s="35">
        <f t="shared" si="2175"/>
        <v>2</v>
      </c>
      <c r="E1432" s="35">
        <f t="shared" si="2175"/>
        <v>4</v>
      </c>
      <c r="F1432" s="35">
        <f t="shared" si="2175"/>
        <v>6</v>
      </c>
      <c r="G1432" s="35">
        <f t="shared" si="2175"/>
        <v>1</v>
      </c>
      <c r="H1432" s="35">
        <f t="shared" ref="H1432:I1432" si="2176">H1355</f>
        <v>2</v>
      </c>
      <c r="I1432" s="35">
        <f t="shared" si="2176"/>
        <v>6</v>
      </c>
      <c r="J1432" s="35">
        <f t="shared" ref="J1432:K1432" si="2177">J1355</f>
        <v>5</v>
      </c>
      <c r="K1432" s="35">
        <f t="shared" si="2177"/>
        <v>7</v>
      </c>
      <c r="L1432" s="35">
        <f t="shared" ref="L1432:M1432" si="2178">L1355</f>
        <v>4</v>
      </c>
      <c r="M1432" s="35">
        <f t="shared" si="2178"/>
        <v>8</v>
      </c>
      <c r="N1432" s="138">
        <f t="shared" ref="N1432" si="2179">SUM(B1432:M1432)</f>
        <v>60</v>
      </c>
      <c r="O1432" s="42">
        <f t="shared" ref="O1432" si="2180">AVERAGE(B1432:M1432)</f>
        <v>5</v>
      </c>
      <c r="P1432" s="96"/>
      <c r="Q1432" s="96"/>
      <c r="R1432" s="96"/>
      <c r="S1432" s="96"/>
      <c r="T1432" s="96"/>
      <c r="U1432" s="96"/>
      <c r="V1432" s="96"/>
      <c r="W1432" s="96"/>
      <c r="X1432" s="96"/>
      <c r="Y1432" s="96"/>
      <c r="Z1432" s="96"/>
    </row>
    <row r="1433" spans="1:26" s="9" customFormat="1" ht="15.75">
      <c r="A1433" s="67" t="s">
        <v>179</v>
      </c>
      <c r="B1433" s="44">
        <f t="shared" ref="B1433:G1433" si="2181">SUM(B1427:B1432)</f>
        <v>1434</v>
      </c>
      <c r="C1433" s="44">
        <f t="shared" si="2181"/>
        <v>1313</v>
      </c>
      <c r="D1433" s="44">
        <f t="shared" si="2181"/>
        <v>1281</v>
      </c>
      <c r="E1433" s="44">
        <f t="shared" si="2181"/>
        <v>1096</v>
      </c>
      <c r="F1433" s="44">
        <f t="shared" si="2181"/>
        <v>1045</v>
      </c>
      <c r="G1433" s="44">
        <f t="shared" si="2181"/>
        <v>995</v>
      </c>
      <c r="H1433" s="44">
        <f t="shared" ref="H1433:I1433" si="2182">SUM(H1427:H1432)</f>
        <v>1185</v>
      </c>
      <c r="I1433" s="44">
        <f t="shared" si="2182"/>
        <v>1134</v>
      </c>
      <c r="J1433" s="44">
        <f t="shared" ref="J1433:K1433" si="2183">SUM(J1427:J1432)</f>
        <v>1048</v>
      </c>
      <c r="K1433" s="44">
        <f t="shared" si="2183"/>
        <v>1017</v>
      </c>
      <c r="L1433" s="44">
        <f t="shared" ref="L1433:M1433" si="2184">SUM(L1427:L1432)</f>
        <v>1117</v>
      </c>
      <c r="M1433" s="44">
        <f t="shared" si="2184"/>
        <v>1096</v>
      </c>
      <c r="N1433" s="139">
        <f>SUM(N1427:N1431)</f>
        <v>13701</v>
      </c>
      <c r="O1433" s="45">
        <f>AVERAGE(B1433:M1433)</f>
        <v>1146.75</v>
      </c>
      <c r="P1433" s="96"/>
      <c r="Q1433" s="96"/>
      <c r="R1433" s="96"/>
      <c r="S1433" s="96"/>
      <c r="T1433" s="96"/>
      <c r="U1433" s="96"/>
      <c r="V1433" s="96"/>
      <c r="W1433" s="96"/>
      <c r="X1433" s="96"/>
      <c r="Y1433" s="96"/>
      <c r="Z1433" s="96"/>
    </row>
    <row r="1434" spans="1:26" s="9" customFormat="1">
      <c r="A1434" s="68"/>
      <c r="B1434" s="69"/>
      <c r="C1434" s="69"/>
      <c r="D1434" s="69"/>
      <c r="E1434" s="69"/>
      <c r="F1434" s="69"/>
      <c r="G1434" s="69"/>
      <c r="H1434" s="69"/>
      <c r="I1434" s="69"/>
      <c r="J1434" s="69"/>
      <c r="K1434" s="69"/>
      <c r="L1434" s="69"/>
      <c r="M1434" s="69"/>
      <c r="N1434" s="144"/>
      <c r="O1434" s="70"/>
      <c r="P1434" s="96"/>
      <c r="Q1434" s="96"/>
      <c r="R1434" s="96"/>
      <c r="S1434" s="96"/>
      <c r="T1434" s="96"/>
      <c r="U1434" s="96"/>
      <c r="V1434" s="96"/>
      <c r="W1434" s="96"/>
      <c r="X1434" s="96"/>
      <c r="Y1434" s="96"/>
      <c r="Z1434" s="96"/>
    </row>
    <row r="1435" spans="1:26" s="9" customFormat="1" ht="15.75">
      <c r="A1435" s="439" t="s">
        <v>187</v>
      </c>
      <c r="B1435" s="440"/>
      <c r="C1435" s="440"/>
      <c r="D1435" s="440"/>
      <c r="E1435" s="440"/>
      <c r="F1435" s="440"/>
      <c r="G1435" s="440"/>
      <c r="H1435" s="440"/>
      <c r="I1435" s="440"/>
      <c r="J1435" s="440"/>
      <c r="K1435" s="440"/>
      <c r="L1435" s="440"/>
      <c r="M1435" s="440"/>
      <c r="N1435" s="441"/>
      <c r="O1435" s="442"/>
      <c r="P1435" s="96"/>
      <c r="Q1435" s="96"/>
      <c r="R1435" s="96"/>
      <c r="S1435" s="96"/>
      <c r="T1435" s="96"/>
      <c r="U1435" s="96"/>
      <c r="V1435" s="96"/>
      <c r="W1435" s="96"/>
      <c r="X1435" s="96"/>
      <c r="Y1435" s="96"/>
      <c r="Z1435" s="96"/>
    </row>
    <row r="1436" spans="1:26" s="9" customFormat="1">
      <c r="A1436" s="53"/>
      <c r="B1436" s="51"/>
      <c r="C1436" s="51"/>
      <c r="D1436" s="51"/>
      <c r="E1436" s="52"/>
      <c r="F1436" s="52"/>
      <c r="G1436" s="52"/>
      <c r="H1436" s="52"/>
      <c r="I1436" s="52"/>
      <c r="J1436" s="52"/>
      <c r="K1436" s="52"/>
      <c r="L1436" s="52"/>
      <c r="M1436" s="52"/>
      <c r="N1436" s="141"/>
      <c r="O1436" s="13"/>
      <c r="P1436" s="96"/>
      <c r="Q1436" s="96"/>
      <c r="R1436" s="96"/>
      <c r="S1436" s="96"/>
      <c r="T1436" s="96"/>
      <c r="U1436" s="96"/>
      <c r="V1436" s="96"/>
      <c r="W1436" s="96"/>
      <c r="X1436" s="96"/>
      <c r="Y1436" s="96"/>
      <c r="Z1436" s="96"/>
    </row>
    <row r="1437" spans="1:26" s="9" customFormat="1" ht="15.75">
      <c r="A1437" s="14" t="s">
        <v>188</v>
      </c>
      <c r="B1437" s="27"/>
      <c r="C1437" s="27"/>
      <c r="D1437" s="27"/>
      <c r="E1437" s="27"/>
      <c r="F1437" s="27"/>
      <c r="G1437" s="27"/>
      <c r="H1437" s="27"/>
      <c r="I1437" s="27"/>
      <c r="J1437" s="27"/>
      <c r="K1437" s="27"/>
      <c r="L1437" s="27"/>
      <c r="M1437" s="27"/>
      <c r="N1437" s="135"/>
      <c r="O1437" s="28"/>
      <c r="P1437" s="96"/>
      <c r="Q1437" s="96"/>
      <c r="R1437" s="96"/>
      <c r="S1437" s="96"/>
      <c r="T1437" s="96"/>
      <c r="U1437" s="96"/>
      <c r="V1437" s="96"/>
      <c r="W1437" s="96"/>
      <c r="X1437" s="96"/>
      <c r="Y1437" s="96"/>
      <c r="Z1437" s="96"/>
    </row>
    <row r="1438" spans="1:26" s="9" customFormat="1" ht="15.75">
      <c r="A1438" s="60" t="s">
        <v>189</v>
      </c>
      <c r="B1438" s="75"/>
      <c r="C1438" s="75"/>
      <c r="D1438" s="75"/>
      <c r="E1438" s="75"/>
      <c r="F1438" s="75"/>
      <c r="G1438" s="75"/>
      <c r="H1438" s="75"/>
      <c r="I1438" s="75"/>
      <c r="J1438" s="75"/>
      <c r="K1438" s="75"/>
      <c r="L1438" s="75"/>
      <c r="M1438" s="75"/>
      <c r="N1438" s="146"/>
      <c r="O1438" s="76"/>
      <c r="P1438" s="96"/>
      <c r="Q1438" s="96"/>
      <c r="R1438" s="96"/>
      <c r="S1438" s="96"/>
      <c r="T1438" s="96"/>
      <c r="U1438" s="96"/>
      <c r="V1438" s="96"/>
      <c r="W1438" s="96"/>
      <c r="X1438" s="96"/>
      <c r="Y1438" s="96"/>
      <c r="Z1438" s="96"/>
    </row>
    <row r="1439" spans="1:26" s="9" customFormat="1" ht="15.75">
      <c r="A1439" s="34" t="s">
        <v>190</v>
      </c>
      <c r="B1439" s="18">
        <v>1872</v>
      </c>
      <c r="C1439" s="18">
        <v>1877</v>
      </c>
      <c r="D1439" s="18">
        <v>1745</v>
      </c>
      <c r="E1439" s="18">
        <v>1380</v>
      </c>
      <c r="F1439" s="18">
        <v>2059</v>
      </c>
      <c r="G1439" s="18">
        <v>1846</v>
      </c>
      <c r="H1439" s="18">
        <v>1867</v>
      </c>
      <c r="I1439" s="18">
        <v>2031</v>
      </c>
      <c r="J1439" s="81">
        <v>2056</v>
      </c>
      <c r="K1439" s="81">
        <v>2242</v>
      </c>
      <c r="L1439" s="18">
        <v>2276</v>
      </c>
      <c r="M1439" s="18">
        <v>2294</v>
      </c>
      <c r="N1439" s="133">
        <f t="shared" ref="N1439:N1447" si="2185">SUM(B1439:M1439)</f>
        <v>23545</v>
      </c>
      <c r="O1439" s="19">
        <f t="shared" ref="O1439:O1447" si="2186">IF(N1439=0,0,AVERAGE(B1439:M1439))</f>
        <v>1962.0833333333333</v>
      </c>
      <c r="P1439" s="96"/>
      <c r="Q1439" s="96"/>
      <c r="R1439" s="96"/>
      <c r="S1439" s="96"/>
      <c r="T1439" s="96"/>
      <c r="U1439" s="96"/>
      <c r="V1439" s="96"/>
      <c r="W1439" s="96"/>
      <c r="X1439" s="96"/>
      <c r="Y1439" s="96"/>
      <c r="Z1439" s="96"/>
    </row>
    <row r="1440" spans="1:26" s="9" customFormat="1" ht="15.75">
      <c r="A1440" s="34" t="s">
        <v>191</v>
      </c>
      <c r="B1440" s="18">
        <v>863</v>
      </c>
      <c r="C1440" s="18">
        <v>873</v>
      </c>
      <c r="D1440" s="18">
        <v>1020</v>
      </c>
      <c r="E1440" s="18">
        <v>912</v>
      </c>
      <c r="F1440" s="18">
        <v>1016</v>
      </c>
      <c r="G1440" s="18">
        <v>872</v>
      </c>
      <c r="H1440" s="18">
        <v>779</v>
      </c>
      <c r="I1440" s="18">
        <v>905</v>
      </c>
      <c r="J1440" s="81">
        <v>970</v>
      </c>
      <c r="K1440" s="81">
        <v>1066</v>
      </c>
      <c r="L1440" s="18">
        <v>1064</v>
      </c>
      <c r="M1440" s="18">
        <v>1075</v>
      </c>
      <c r="N1440" s="133">
        <f t="shared" si="2185"/>
        <v>11415</v>
      </c>
      <c r="O1440" s="19">
        <f t="shared" si="2186"/>
        <v>951.25</v>
      </c>
      <c r="P1440" s="96"/>
      <c r="Q1440" s="96"/>
      <c r="R1440" s="96"/>
      <c r="S1440" s="96"/>
      <c r="T1440" s="96"/>
      <c r="U1440" s="96"/>
      <c r="V1440" s="96"/>
      <c r="W1440" s="96"/>
      <c r="X1440" s="96"/>
      <c r="Y1440" s="96"/>
      <c r="Z1440" s="96"/>
    </row>
    <row r="1441" spans="1:26" s="9" customFormat="1" ht="15.75">
      <c r="A1441" s="34" t="s">
        <v>192</v>
      </c>
      <c r="B1441" s="18">
        <v>3875</v>
      </c>
      <c r="C1441" s="18">
        <v>4657</v>
      </c>
      <c r="D1441" s="18">
        <v>4774</v>
      </c>
      <c r="E1441" s="18">
        <v>4000</v>
      </c>
      <c r="F1441" s="18">
        <v>4265</v>
      </c>
      <c r="G1441" s="18">
        <v>4510</v>
      </c>
      <c r="H1441" s="18">
        <v>4378</v>
      </c>
      <c r="I1441" s="18">
        <v>4733</v>
      </c>
      <c r="J1441" s="81">
        <v>4676</v>
      </c>
      <c r="K1441" s="18">
        <v>4536</v>
      </c>
      <c r="L1441" s="18">
        <v>4449</v>
      </c>
      <c r="M1441" s="18">
        <v>5277</v>
      </c>
      <c r="N1441" s="133">
        <f t="shared" si="2185"/>
        <v>54130</v>
      </c>
      <c r="O1441" s="19">
        <f t="shared" si="2186"/>
        <v>4510.833333333333</v>
      </c>
      <c r="P1441" s="96"/>
      <c r="Q1441" s="96"/>
      <c r="R1441" s="96"/>
      <c r="S1441" s="96"/>
      <c r="T1441" s="96"/>
      <c r="U1441" s="96"/>
      <c r="V1441" s="96"/>
      <c r="W1441" s="96"/>
      <c r="X1441" s="96"/>
      <c r="Y1441" s="96"/>
      <c r="Z1441" s="96"/>
    </row>
    <row r="1442" spans="1:26" s="9" customFormat="1" ht="15.75">
      <c r="A1442" s="34" t="s">
        <v>193</v>
      </c>
      <c r="B1442" s="18">
        <v>911</v>
      </c>
      <c r="C1442" s="18">
        <v>927</v>
      </c>
      <c r="D1442" s="18">
        <v>1883</v>
      </c>
      <c r="E1442" s="18">
        <v>1986</v>
      </c>
      <c r="F1442" s="18">
        <v>1029</v>
      </c>
      <c r="G1442" s="18">
        <v>1494</v>
      </c>
      <c r="H1442" s="18">
        <v>1031</v>
      </c>
      <c r="I1442" s="18">
        <v>1060</v>
      </c>
      <c r="J1442" s="18">
        <v>1045</v>
      </c>
      <c r="K1442" s="18">
        <v>1048</v>
      </c>
      <c r="L1442" s="18">
        <v>1049</v>
      </c>
      <c r="M1442" s="18">
        <v>1400</v>
      </c>
      <c r="N1442" s="133">
        <f t="shared" si="2185"/>
        <v>14863</v>
      </c>
      <c r="O1442" s="19">
        <f t="shared" si="2186"/>
        <v>1238.5833333333333</v>
      </c>
      <c r="P1442" s="96"/>
      <c r="Q1442" s="96"/>
      <c r="R1442" s="96"/>
      <c r="S1442" s="96"/>
      <c r="T1442" s="96"/>
      <c r="U1442" s="96"/>
      <c r="V1442" s="96"/>
      <c r="W1442" s="96"/>
      <c r="X1442" s="96"/>
      <c r="Y1442" s="96"/>
      <c r="Z1442" s="96"/>
    </row>
    <row r="1443" spans="1:26" s="9" customFormat="1" ht="15.75">
      <c r="A1443" s="34" t="s">
        <v>194</v>
      </c>
      <c r="B1443" s="18">
        <v>2897</v>
      </c>
      <c r="C1443" s="18">
        <v>3089</v>
      </c>
      <c r="D1443" s="18">
        <v>3075</v>
      </c>
      <c r="E1443" s="18">
        <v>2701</v>
      </c>
      <c r="F1443" s="18">
        <v>3151</v>
      </c>
      <c r="G1443" s="18">
        <v>2966</v>
      </c>
      <c r="H1443" s="18">
        <v>2989</v>
      </c>
      <c r="I1443" s="18">
        <v>3268</v>
      </c>
      <c r="J1443" s="18">
        <v>3148</v>
      </c>
      <c r="K1443" s="18">
        <v>3426</v>
      </c>
      <c r="L1443" s="18">
        <v>3251</v>
      </c>
      <c r="M1443" s="18">
        <v>3330</v>
      </c>
      <c r="N1443" s="133">
        <f t="shared" si="2185"/>
        <v>37291</v>
      </c>
      <c r="O1443" s="19">
        <f t="shared" si="2186"/>
        <v>3107.5833333333335</v>
      </c>
      <c r="P1443" s="96"/>
      <c r="Q1443" s="96"/>
      <c r="R1443" s="96"/>
      <c r="S1443" s="96"/>
      <c r="T1443" s="96"/>
      <c r="U1443" s="96"/>
      <c r="V1443" s="96"/>
      <c r="W1443" s="96"/>
      <c r="X1443" s="96"/>
      <c r="Y1443" s="96"/>
      <c r="Z1443" s="96"/>
    </row>
    <row r="1444" spans="1:26" s="9" customFormat="1" ht="15.75">
      <c r="A1444" s="34" t="s">
        <v>195</v>
      </c>
      <c r="B1444" s="18">
        <v>950</v>
      </c>
      <c r="C1444" s="18">
        <v>1011</v>
      </c>
      <c r="D1444" s="18">
        <v>1000</v>
      </c>
      <c r="E1444" s="18">
        <v>910</v>
      </c>
      <c r="F1444" s="18">
        <v>1141</v>
      </c>
      <c r="G1444" s="18">
        <v>1021</v>
      </c>
      <c r="H1444" s="18">
        <v>911</v>
      </c>
      <c r="I1444" s="18">
        <v>1076</v>
      </c>
      <c r="J1444" s="18">
        <v>1111</v>
      </c>
      <c r="K1444" s="18">
        <v>1198</v>
      </c>
      <c r="L1444" s="18">
        <v>1220</v>
      </c>
      <c r="M1444" s="18">
        <v>1222</v>
      </c>
      <c r="N1444" s="133">
        <f t="shared" si="2185"/>
        <v>12771</v>
      </c>
      <c r="O1444" s="19">
        <f t="shared" si="2186"/>
        <v>1064.25</v>
      </c>
      <c r="P1444" s="96"/>
      <c r="Q1444" s="96"/>
      <c r="R1444" s="96"/>
      <c r="S1444" s="96"/>
      <c r="T1444" s="96"/>
      <c r="U1444" s="96"/>
      <c r="V1444" s="96"/>
      <c r="W1444" s="96"/>
      <c r="X1444" s="96"/>
      <c r="Y1444" s="96"/>
      <c r="Z1444" s="96"/>
    </row>
    <row r="1445" spans="1:26" s="9" customFormat="1" ht="15.75">
      <c r="A1445" s="34" t="s">
        <v>196</v>
      </c>
      <c r="B1445" s="18">
        <v>368</v>
      </c>
      <c r="C1445" s="18">
        <v>308</v>
      </c>
      <c r="D1445" s="18">
        <v>265</v>
      </c>
      <c r="E1445" s="18">
        <v>181</v>
      </c>
      <c r="F1445" s="18">
        <v>180</v>
      </c>
      <c r="G1445" s="18">
        <v>134</v>
      </c>
      <c r="H1445" s="18">
        <v>346</v>
      </c>
      <c r="I1445" s="18">
        <v>244</v>
      </c>
      <c r="J1445" s="18">
        <v>78</v>
      </c>
      <c r="K1445" s="18">
        <v>187</v>
      </c>
      <c r="L1445" s="18">
        <v>19</v>
      </c>
      <c r="M1445" s="18">
        <v>204</v>
      </c>
      <c r="N1445" s="133">
        <f t="shared" si="2185"/>
        <v>2514</v>
      </c>
      <c r="O1445" s="19">
        <f t="shared" si="2186"/>
        <v>209.5</v>
      </c>
      <c r="P1445" s="96"/>
      <c r="Q1445" s="96"/>
      <c r="R1445" s="96"/>
      <c r="S1445" s="96"/>
      <c r="T1445" s="96"/>
      <c r="U1445" s="96"/>
      <c r="V1445" s="96"/>
      <c r="W1445" s="96"/>
      <c r="X1445" s="96"/>
      <c r="Y1445" s="96"/>
      <c r="Z1445" s="96"/>
    </row>
    <row r="1446" spans="1:26" s="9" customFormat="1" ht="15.75">
      <c r="A1446" s="34" t="s">
        <v>197</v>
      </c>
      <c r="B1446" s="18">
        <v>186</v>
      </c>
      <c r="C1446" s="18">
        <v>235</v>
      </c>
      <c r="D1446" s="18">
        <v>297</v>
      </c>
      <c r="E1446" s="18">
        <v>382</v>
      </c>
      <c r="F1446" s="18">
        <v>408</v>
      </c>
      <c r="G1446" s="81">
        <v>304</v>
      </c>
      <c r="H1446" s="18">
        <v>228</v>
      </c>
      <c r="I1446" s="18">
        <v>361</v>
      </c>
      <c r="J1446" s="18">
        <v>527</v>
      </c>
      <c r="K1446" s="18">
        <v>470</v>
      </c>
      <c r="L1446" s="18">
        <v>486</v>
      </c>
      <c r="M1446" s="18">
        <v>311</v>
      </c>
      <c r="N1446" s="133">
        <f t="shared" si="2185"/>
        <v>4195</v>
      </c>
      <c r="O1446" s="19">
        <f t="shared" si="2186"/>
        <v>349.58333333333331</v>
      </c>
      <c r="P1446" s="96"/>
      <c r="Q1446" s="96"/>
      <c r="R1446" s="96"/>
      <c r="S1446" s="96"/>
      <c r="T1446" s="96"/>
      <c r="U1446" s="96"/>
      <c r="V1446" s="96"/>
      <c r="W1446" s="96"/>
      <c r="X1446" s="96"/>
      <c r="Y1446" s="96"/>
      <c r="Z1446" s="96"/>
    </row>
    <row r="1447" spans="1:26" s="9" customFormat="1" ht="15.75">
      <c r="A1447" s="34" t="s">
        <v>198</v>
      </c>
      <c r="B1447" s="18">
        <v>0</v>
      </c>
      <c r="C1447" s="18">
        <v>0</v>
      </c>
      <c r="D1447" s="18">
        <v>0</v>
      </c>
      <c r="E1447" s="18">
        <v>0</v>
      </c>
      <c r="F1447" s="18">
        <v>0</v>
      </c>
      <c r="G1447" s="18">
        <v>0</v>
      </c>
      <c r="H1447" s="18">
        <v>0</v>
      </c>
      <c r="I1447" s="18">
        <v>0</v>
      </c>
      <c r="J1447" s="18">
        <v>0</v>
      </c>
      <c r="K1447" s="18">
        <v>0</v>
      </c>
      <c r="L1447" s="18">
        <v>0</v>
      </c>
      <c r="M1447" s="18">
        <v>0</v>
      </c>
      <c r="N1447" s="133">
        <f t="shared" si="2185"/>
        <v>0</v>
      </c>
      <c r="O1447" s="19">
        <f t="shared" si="2186"/>
        <v>0</v>
      </c>
      <c r="P1447" s="96"/>
      <c r="Q1447" s="96"/>
      <c r="R1447" s="96"/>
      <c r="S1447" s="96"/>
      <c r="T1447" s="96"/>
      <c r="U1447" s="96"/>
      <c r="V1447" s="96"/>
      <c r="W1447" s="96"/>
      <c r="X1447" s="96"/>
      <c r="Y1447" s="96"/>
      <c r="Z1447" s="96"/>
    </row>
    <row r="1448" spans="1:26" s="9" customFormat="1" ht="15.75">
      <c r="A1448" s="56" t="s">
        <v>21</v>
      </c>
      <c r="B1448" s="21">
        <f t="shared" ref="B1448:C1448" si="2187">SUM(B1439:B1447)</f>
        <v>11922</v>
      </c>
      <c r="C1448" s="21">
        <f t="shared" si="2187"/>
        <v>12977</v>
      </c>
      <c r="D1448" s="21">
        <f t="shared" ref="D1448:E1448" si="2188">SUM(D1439:D1447)</f>
        <v>14059</v>
      </c>
      <c r="E1448" s="21">
        <f t="shared" si="2188"/>
        <v>12452</v>
      </c>
      <c r="F1448" s="21">
        <f t="shared" ref="F1448:G1448" si="2189">SUM(F1439:F1447)</f>
        <v>13249</v>
      </c>
      <c r="G1448" s="21">
        <f t="shared" si="2189"/>
        <v>13147</v>
      </c>
      <c r="H1448" s="21">
        <f t="shared" ref="H1448:I1448" si="2190">SUM(H1439:H1447)</f>
        <v>12529</v>
      </c>
      <c r="I1448" s="21">
        <f t="shared" si="2190"/>
        <v>13678</v>
      </c>
      <c r="J1448" s="21">
        <f t="shared" ref="J1448:K1448" si="2191">SUM(J1439:J1447)</f>
        <v>13611</v>
      </c>
      <c r="K1448" s="21">
        <f t="shared" si="2191"/>
        <v>14173</v>
      </c>
      <c r="L1448" s="21">
        <f t="shared" ref="L1448:M1448" si="2192">SUM(L1439:L1447)</f>
        <v>13814</v>
      </c>
      <c r="M1448" s="21">
        <f t="shared" si="2192"/>
        <v>15113</v>
      </c>
      <c r="N1448" s="128">
        <f>SUM(N1439:N1447)</f>
        <v>160724</v>
      </c>
      <c r="O1448" s="22">
        <f>SUM(O1439:O1447)</f>
        <v>13393.666666666668</v>
      </c>
      <c r="P1448" s="96"/>
      <c r="Q1448" s="96"/>
      <c r="R1448" s="96"/>
      <c r="S1448" s="96"/>
      <c r="T1448" s="96"/>
      <c r="U1448" s="96"/>
      <c r="V1448" s="96"/>
      <c r="W1448" s="96"/>
      <c r="X1448" s="96"/>
      <c r="Y1448" s="96"/>
      <c r="Z1448" s="96"/>
    </row>
    <row r="1449" spans="1:26" s="191" customFormat="1" ht="15.75">
      <c r="A1449" s="56" t="s">
        <v>112</v>
      </c>
      <c r="B1449" s="22">
        <f t="shared" ref="B1449:G1449" si="2193">IF(B1448=0,"",B1448/B$1676)</f>
        <v>384.58064516129031</v>
      </c>
      <c r="C1449" s="22">
        <f t="shared" si="2193"/>
        <v>463.46428571428572</v>
      </c>
      <c r="D1449" s="22">
        <f t="shared" si="2193"/>
        <v>453.51612903225805</v>
      </c>
      <c r="E1449" s="22">
        <f t="shared" si="2193"/>
        <v>415.06666666666666</v>
      </c>
      <c r="F1449" s="22">
        <f t="shared" si="2193"/>
        <v>427.38709677419354</v>
      </c>
      <c r="G1449" s="22">
        <f t="shared" si="2193"/>
        <v>438.23333333333335</v>
      </c>
      <c r="H1449" s="22">
        <f t="shared" ref="H1449:I1449" si="2194">IF(H1448=0,"",H1448/H$1676)</f>
        <v>404.16129032258067</v>
      </c>
      <c r="I1449" s="22">
        <f t="shared" si="2194"/>
        <v>441.22580645161293</v>
      </c>
      <c r="J1449" s="22">
        <f t="shared" ref="J1449:K1449" si="2195">IF(J1448=0,"",J1448/J$1676)</f>
        <v>453.7</v>
      </c>
      <c r="K1449" s="22">
        <f t="shared" si="2195"/>
        <v>457.19354838709677</v>
      </c>
      <c r="L1449" s="22">
        <f t="shared" ref="L1449:M1449" si="2196">IF(L1448=0,"",L1448/L$1676)</f>
        <v>460.46666666666664</v>
      </c>
      <c r="M1449" s="22">
        <f t="shared" si="2196"/>
        <v>487.51612903225805</v>
      </c>
      <c r="N1449" s="128">
        <f>SUM(B1449:M1449)</f>
        <v>5286.5115975422414</v>
      </c>
      <c r="O1449" s="22">
        <f>IF(N1449=0,0,AVERAGE(B1449:M1449))</f>
        <v>440.54263312852009</v>
      </c>
      <c r="P1449" s="227"/>
      <c r="Q1449" s="227"/>
      <c r="R1449" s="227"/>
      <c r="S1449" s="227"/>
      <c r="T1449" s="227"/>
      <c r="U1449" s="227"/>
      <c r="V1449" s="227"/>
      <c r="W1449" s="227"/>
      <c r="X1449" s="227"/>
      <c r="Y1449" s="227"/>
      <c r="Z1449" s="227"/>
    </row>
    <row r="1450" spans="1:26" s="9" customFormat="1">
      <c r="A1450" s="23"/>
      <c r="B1450" s="24"/>
      <c r="C1450" s="24"/>
      <c r="D1450" s="24"/>
      <c r="E1450" s="25"/>
      <c r="F1450" s="25"/>
      <c r="G1450" s="25"/>
      <c r="H1450" s="25"/>
      <c r="I1450" s="25"/>
      <c r="J1450" s="25"/>
      <c r="K1450" s="25"/>
      <c r="L1450" s="25"/>
      <c r="M1450" s="25"/>
      <c r="N1450" s="134"/>
      <c r="O1450" s="13"/>
      <c r="P1450" s="96"/>
      <c r="Q1450" s="96"/>
      <c r="R1450" s="96"/>
      <c r="S1450" s="96"/>
      <c r="T1450" s="96"/>
      <c r="U1450" s="96"/>
      <c r="V1450" s="96"/>
      <c r="W1450" s="96"/>
      <c r="X1450" s="96"/>
      <c r="Y1450" s="96"/>
      <c r="Z1450" s="96"/>
    </row>
    <row r="1451" spans="1:26" s="9" customFormat="1" ht="15.75">
      <c r="A1451" s="60" t="s">
        <v>199</v>
      </c>
      <c r="B1451" s="75"/>
      <c r="C1451" s="75"/>
      <c r="D1451" s="75"/>
      <c r="E1451" s="75"/>
      <c r="F1451" s="75"/>
      <c r="G1451" s="75"/>
      <c r="H1451" s="75"/>
      <c r="I1451" s="75"/>
      <c r="J1451" s="75"/>
      <c r="K1451" s="75"/>
      <c r="L1451" s="75"/>
      <c r="M1451" s="75"/>
      <c r="N1451" s="146"/>
      <c r="O1451" s="76"/>
      <c r="P1451" s="96"/>
      <c r="Q1451" s="96"/>
      <c r="R1451" s="96"/>
      <c r="S1451" s="96"/>
      <c r="T1451" s="96"/>
      <c r="U1451" s="96"/>
      <c r="V1451" s="96"/>
      <c r="W1451" s="96"/>
      <c r="X1451" s="96"/>
      <c r="Y1451" s="96"/>
      <c r="Z1451" s="96"/>
    </row>
    <row r="1452" spans="1:26" s="9" customFormat="1" ht="15.75">
      <c r="A1452" s="212" t="s">
        <v>624</v>
      </c>
      <c r="B1452" s="81">
        <v>2740</v>
      </c>
      <c r="C1452" s="81">
        <v>3723</v>
      </c>
      <c r="D1452" s="81">
        <v>4808</v>
      </c>
      <c r="E1452" s="81">
        <v>4627</v>
      </c>
      <c r="F1452" s="81">
        <v>2958</v>
      </c>
      <c r="G1452" s="81">
        <v>4085</v>
      </c>
      <c r="H1452" s="81">
        <v>3536</v>
      </c>
      <c r="I1452" s="81">
        <v>3933</v>
      </c>
      <c r="J1452" s="81">
        <v>3256</v>
      </c>
      <c r="K1452" s="81">
        <v>3110</v>
      </c>
      <c r="L1452" s="81">
        <v>2762</v>
      </c>
      <c r="M1452" s="81">
        <v>3742</v>
      </c>
      <c r="N1452" s="213">
        <f t="shared" ref="N1452:N1457" si="2197">SUM(B1452:M1452)</f>
        <v>43280</v>
      </c>
      <c r="O1452" s="214">
        <f t="shared" ref="O1452:O1457" si="2198">IF(N1452=0,0,AVERAGE(B1452:M1452))</f>
        <v>3606.6666666666665</v>
      </c>
      <c r="P1452" s="96"/>
      <c r="Q1452" s="96"/>
      <c r="R1452" s="96"/>
      <c r="S1452" s="96"/>
      <c r="T1452" s="96"/>
      <c r="U1452" s="96"/>
      <c r="V1452" s="96"/>
      <c r="W1452" s="96"/>
      <c r="X1452" s="96"/>
      <c r="Y1452" s="96"/>
      <c r="Z1452" s="96"/>
    </row>
    <row r="1453" spans="1:26" s="9" customFormat="1" ht="15.75">
      <c r="A1453" s="34" t="s">
        <v>200</v>
      </c>
      <c r="B1453" s="18">
        <v>3043</v>
      </c>
      <c r="C1453" s="18">
        <v>2995</v>
      </c>
      <c r="D1453" s="18">
        <v>2249</v>
      </c>
      <c r="E1453" s="18">
        <v>1476</v>
      </c>
      <c r="F1453" s="18">
        <v>3201</v>
      </c>
      <c r="G1453" s="18">
        <v>2936</v>
      </c>
      <c r="H1453" s="18">
        <v>3252</v>
      </c>
      <c r="I1453" s="18">
        <v>2982</v>
      </c>
      <c r="J1453" s="18">
        <v>3247</v>
      </c>
      <c r="K1453" s="81">
        <v>3528</v>
      </c>
      <c r="L1453" s="18">
        <v>3659</v>
      </c>
      <c r="M1453" s="18">
        <v>3668</v>
      </c>
      <c r="N1453" s="133">
        <f t="shared" si="2197"/>
        <v>36236</v>
      </c>
      <c r="O1453" s="19">
        <f t="shared" si="2198"/>
        <v>3019.6666666666665</v>
      </c>
      <c r="P1453" s="96"/>
      <c r="Q1453" s="96"/>
      <c r="R1453" s="96"/>
      <c r="S1453" s="96"/>
      <c r="T1453" s="96"/>
      <c r="U1453" s="96"/>
      <c r="V1453" s="96"/>
      <c r="W1453" s="96"/>
      <c r="X1453" s="96"/>
      <c r="Y1453" s="96"/>
      <c r="Z1453" s="96"/>
    </row>
    <row r="1454" spans="1:26" s="9" customFormat="1" ht="15.75">
      <c r="A1454" s="34" t="s">
        <v>623</v>
      </c>
      <c r="B1454" s="18">
        <v>289</v>
      </c>
      <c r="C1454" s="18">
        <v>268</v>
      </c>
      <c r="D1454" s="18">
        <v>415</v>
      </c>
      <c r="E1454" s="18">
        <v>448</v>
      </c>
      <c r="F1454" s="18">
        <v>296</v>
      </c>
      <c r="G1454" s="18">
        <v>216</v>
      </c>
      <c r="H1454" s="18">
        <v>304</v>
      </c>
      <c r="I1454" s="18">
        <v>411</v>
      </c>
      <c r="J1454" s="18">
        <v>406</v>
      </c>
      <c r="K1454" s="18">
        <v>307</v>
      </c>
      <c r="L1454" s="18">
        <v>245</v>
      </c>
      <c r="M1454" s="18">
        <v>522</v>
      </c>
      <c r="N1454" s="133">
        <f t="shared" si="2197"/>
        <v>4127</v>
      </c>
      <c r="O1454" s="19">
        <f t="shared" si="2198"/>
        <v>343.91666666666669</v>
      </c>
      <c r="P1454" s="96"/>
      <c r="Q1454" s="96"/>
      <c r="R1454" s="96"/>
      <c r="S1454" s="96"/>
      <c r="T1454" s="96"/>
      <c r="U1454" s="96"/>
      <c r="V1454" s="96"/>
      <c r="W1454" s="96"/>
      <c r="X1454" s="96"/>
      <c r="Y1454" s="96"/>
      <c r="Z1454" s="96"/>
    </row>
    <row r="1455" spans="1:26" s="9" customFormat="1" ht="15.75">
      <c r="A1455" s="37" t="s">
        <v>18</v>
      </c>
      <c r="B1455" s="18">
        <v>3493</v>
      </c>
      <c r="C1455" s="18">
        <v>3374</v>
      </c>
      <c r="D1455" s="18">
        <v>1837</v>
      </c>
      <c r="E1455" s="18">
        <v>321</v>
      </c>
      <c r="F1455" s="18">
        <v>3716</v>
      </c>
      <c r="G1455" s="18">
        <v>2950</v>
      </c>
      <c r="H1455" s="18">
        <v>3054</v>
      </c>
      <c r="I1455" s="18">
        <v>3749</v>
      </c>
      <c r="J1455" s="18">
        <v>3229</v>
      </c>
      <c r="K1455" s="18">
        <v>3432</v>
      </c>
      <c r="L1455" s="18">
        <v>3993</v>
      </c>
      <c r="M1455" s="18">
        <v>3638</v>
      </c>
      <c r="N1455" s="133">
        <f t="shared" si="2197"/>
        <v>36786</v>
      </c>
      <c r="O1455" s="19">
        <f t="shared" si="2198"/>
        <v>3065.5</v>
      </c>
      <c r="P1455" s="96"/>
      <c r="Q1455" s="96"/>
      <c r="R1455" s="96"/>
      <c r="S1455" s="96"/>
      <c r="T1455" s="96"/>
      <c r="U1455" s="96"/>
      <c r="V1455" s="96"/>
      <c r="W1455" s="96"/>
      <c r="X1455" s="96"/>
      <c r="Y1455" s="96"/>
      <c r="Z1455" s="96"/>
    </row>
    <row r="1456" spans="1:26" s="9" customFormat="1" ht="15.75">
      <c r="A1456" s="37" t="s">
        <v>19</v>
      </c>
      <c r="B1456" s="18">
        <v>2172</v>
      </c>
      <c r="C1456" s="18">
        <v>2391</v>
      </c>
      <c r="D1456" s="18">
        <v>4417</v>
      </c>
      <c r="E1456" s="18">
        <v>5192</v>
      </c>
      <c r="F1456" s="18">
        <v>2783</v>
      </c>
      <c r="G1456" s="18">
        <v>2661</v>
      </c>
      <c r="H1456" s="18">
        <v>2112</v>
      </c>
      <c r="I1456" s="18">
        <v>2282</v>
      </c>
      <c r="J1456" s="18">
        <v>3232</v>
      </c>
      <c r="K1456" s="18">
        <v>3456</v>
      </c>
      <c r="L1456" s="18">
        <v>2982</v>
      </c>
      <c r="M1456" s="18">
        <v>3102</v>
      </c>
      <c r="N1456" s="133">
        <f t="shared" si="2197"/>
        <v>36782</v>
      </c>
      <c r="O1456" s="19">
        <f t="shared" si="2198"/>
        <v>3065.1666666666665</v>
      </c>
      <c r="P1456" s="96"/>
      <c r="Q1456" s="96"/>
      <c r="R1456" s="96"/>
      <c r="S1456" s="96"/>
      <c r="T1456" s="96"/>
      <c r="U1456" s="96"/>
      <c r="V1456" s="96"/>
      <c r="W1456" s="96"/>
      <c r="X1456" s="96"/>
      <c r="Y1456" s="96"/>
      <c r="Z1456" s="96"/>
    </row>
    <row r="1457" spans="1:26" customFormat="1" ht="15.75">
      <c r="A1457" s="34" t="s">
        <v>20</v>
      </c>
      <c r="B1457" s="18">
        <v>185</v>
      </c>
      <c r="C1457" s="18">
        <v>226</v>
      </c>
      <c r="D1457" s="18">
        <v>333</v>
      </c>
      <c r="E1457" s="18">
        <v>388</v>
      </c>
      <c r="F1457" s="18">
        <v>295</v>
      </c>
      <c r="G1457" s="18">
        <v>299</v>
      </c>
      <c r="H1457" s="18">
        <v>271</v>
      </c>
      <c r="I1457" s="18">
        <v>321</v>
      </c>
      <c r="J1457" s="18">
        <v>241</v>
      </c>
      <c r="K1457" s="18">
        <v>340</v>
      </c>
      <c r="L1457" s="18">
        <v>173</v>
      </c>
      <c r="M1457" s="18">
        <v>442</v>
      </c>
      <c r="N1457" s="133">
        <f t="shared" si="2197"/>
        <v>3514</v>
      </c>
      <c r="O1457" s="19">
        <f t="shared" si="2198"/>
        <v>292.83333333333331</v>
      </c>
    </row>
    <row r="1458" spans="1:26" customFormat="1" ht="15.75">
      <c r="A1458" s="74" t="s">
        <v>21</v>
      </c>
      <c r="B1458" s="21">
        <f t="shared" ref="B1458:C1458" si="2199">SUM(B1452:B1457)</f>
        <v>11922</v>
      </c>
      <c r="C1458" s="21">
        <f t="shared" si="2199"/>
        <v>12977</v>
      </c>
      <c r="D1458" s="21">
        <f t="shared" ref="D1458:E1458" si="2200">SUM(D1452:D1457)</f>
        <v>14059</v>
      </c>
      <c r="E1458" s="21">
        <f t="shared" si="2200"/>
        <v>12452</v>
      </c>
      <c r="F1458" s="21">
        <f t="shared" ref="F1458:G1458" si="2201">SUM(F1452:F1457)</f>
        <v>13249</v>
      </c>
      <c r="G1458" s="21">
        <f t="shared" si="2201"/>
        <v>13147</v>
      </c>
      <c r="H1458" s="21">
        <f t="shared" ref="H1458" si="2202">SUM(H1452:H1457)</f>
        <v>12529</v>
      </c>
      <c r="I1458" s="21">
        <f t="shared" ref="I1458:J1458" si="2203">SUM(I1452:I1457)</f>
        <v>13678</v>
      </c>
      <c r="J1458" s="21">
        <f t="shared" si="2203"/>
        <v>13611</v>
      </c>
      <c r="K1458" s="21">
        <f t="shared" ref="K1458:L1458" si="2204">SUM(K1452:K1457)</f>
        <v>14173</v>
      </c>
      <c r="L1458" s="21">
        <f t="shared" si="2204"/>
        <v>13814</v>
      </c>
      <c r="M1458" s="21">
        <f t="shared" ref="M1458" si="2205">SUM(M1452:M1457)</f>
        <v>15114</v>
      </c>
      <c r="N1458" s="128">
        <f>SUM(N1452:N1457)</f>
        <v>160725</v>
      </c>
      <c r="O1458" s="22">
        <f>SUM(O1452:O1457)</f>
        <v>13393.75</v>
      </c>
    </row>
    <row r="1459" spans="1:26" s="191" customFormat="1" ht="15.75">
      <c r="A1459" s="56" t="s">
        <v>112</v>
      </c>
      <c r="B1459" s="22">
        <f t="shared" ref="B1459:G1459" si="2206">IF(B1458=0,"",B1458/B$1676)</f>
        <v>384.58064516129031</v>
      </c>
      <c r="C1459" s="22">
        <f t="shared" si="2206"/>
        <v>463.46428571428572</v>
      </c>
      <c r="D1459" s="22">
        <f t="shared" si="2206"/>
        <v>453.51612903225805</v>
      </c>
      <c r="E1459" s="22">
        <f t="shared" si="2206"/>
        <v>415.06666666666666</v>
      </c>
      <c r="F1459" s="22">
        <f t="shared" si="2206"/>
        <v>427.38709677419354</v>
      </c>
      <c r="G1459" s="22">
        <f t="shared" si="2206"/>
        <v>438.23333333333335</v>
      </c>
      <c r="H1459" s="22">
        <f t="shared" ref="H1459" si="2207">IF(H1458=0,"",H1458/H$1676)</f>
        <v>404.16129032258067</v>
      </c>
      <c r="I1459" s="22">
        <f t="shared" ref="I1459:J1459" si="2208">IF(I1458=0,"",I1458/I$1676)</f>
        <v>441.22580645161293</v>
      </c>
      <c r="J1459" s="22">
        <f t="shared" si="2208"/>
        <v>453.7</v>
      </c>
      <c r="K1459" s="22">
        <f t="shared" ref="K1459:L1459" si="2209">IF(K1458=0,"",K1458/K$1676)</f>
        <v>457.19354838709677</v>
      </c>
      <c r="L1459" s="22">
        <f t="shared" si="2209"/>
        <v>460.46666666666664</v>
      </c>
      <c r="M1459" s="22">
        <f t="shared" ref="M1459" si="2210">IF(M1458=0,"",M1458/M$1676)</f>
        <v>487.54838709677421</v>
      </c>
      <c r="N1459" s="128">
        <f>SUM(B1459:M1459)</f>
        <v>5286.5438556067584</v>
      </c>
      <c r="O1459" s="22">
        <f>IF(N1459=0,0,AVERAGE(B1459:M1459))</f>
        <v>440.54532130056322</v>
      </c>
      <c r="P1459" s="227"/>
      <c r="Q1459" s="227"/>
      <c r="R1459" s="227"/>
      <c r="S1459" s="227"/>
      <c r="T1459" s="227"/>
      <c r="U1459" s="227"/>
      <c r="V1459" s="227"/>
      <c r="W1459" s="227"/>
      <c r="X1459" s="227"/>
      <c r="Y1459" s="227"/>
      <c r="Z1459" s="227"/>
    </row>
    <row r="1460" spans="1:26" customFormat="1" ht="14.25">
      <c r="M1460" s="4"/>
    </row>
    <row r="1461" spans="1:26" customFormat="1" ht="15.75">
      <c r="A1461" s="60" t="s">
        <v>671</v>
      </c>
      <c r="B1461" s="75"/>
      <c r="C1461" s="75"/>
      <c r="D1461" s="75"/>
      <c r="E1461" s="75"/>
      <c r="F1461" s="75"/>
      <c r="G1461" s="75"/>
      <c r="H1461" s="75"/>
      <c r="I1461" s="75"/>
      <c r="J1461" s="75"/>
      <c r="K1461" s="75"/>
      <c r="L1461" s="75"/>
      <c r="M1461" s="75"/>
      <c r="N1461" s="146"/>
      <c r="O1461" s="76"/>
    </row>
    <row r="1462" spans="1:26" customFormat="1" ht="15.75">
      <c r="A1462" s="212" t="s">
        <v>311</v>
      </c>
      <c r="B1462" s="81">
        <v>63</v>
      </c>
      <c r="C1462" s="81">
        <v>96</v>
      </c>
      <c r="D1462" s="81">
        <v>123</v>
      </c>
      <c r="E1462" s="81">
        <v>7</v>
      </c>
      <c r="F1462" s="81">
        <v>13</v>
      </c>
      <c r="G1462" s="81">
        <v>58</v>
      </c>
      <c r="H1462" s="81">
        <v>73</v>
      </c>
      <c r="I1462" s="81">
        <v>43</v>
      </c>
      <c r="J1462" s="81">
        <v>81</v>
      </c>
      <c r="K1462" s="81">
        <v>180</v>
      </c>
      <c r="L1462" s="81">
        <v>182</v>
      </c>
      <c r="M1462" s="81">
        <v>81</v>
      </c>
      <c r="N1462" s="213">
        <f t="shared" ref="N1462" si="2211">SUM(B1462:M1462)</f>
        <v>1000</v>
      </c>
      <c r="O1462" s="214">
        <f t="shared" ref="O1462" si="2212">IF(N1462=0,0,AVERAGE(B1462:M1462))</f>
        <v>83.333333333333329</v>
      </c>
    </row>
    <row r="1463" spans="1:26" customFormat="1" ht="15.75">
      <c r="A1463" s="74" t="s">
        <v>21</v>
      </c>
      <c r="B1463" s="21">
        <f t="shared" ref="B1463:C1463" si="2213">SUM(B1462)</f>
        <v>63</v>
      </c>
      <c r="C1463" s="21">
        <f t="shared" si="2213"/>
        <v>96</v>
      </c>
      <c r="D1463" s="21">
        <f t="shared" ref="D1463:E1463" si="2214">SUM(D1462)</f>
        <v>123</v>
      </c>
      <c r="E1463" s="21">
        <f t="shared" si="2214"/>
        <v>7</v>
      </c>
      <c r="F1463" s="21">
        <f t="shared" ref="F1463:G1463" si="2215">SUM(F1462)</f>
        <v>13</v>
      </c>
      <c r="G1463" s="21">
        <f t="shared" si="2215"/>
        <v>58</v>
      </c>
      <c r="H1463" s="21">
        <f t="shared" ref="H1463:I1463" si="2216">SUM(H1462)</f>
        <v>73</v>
      </c>
      <c r="I1463" s="21">
        <f t="shared" si="2216"/>
        <v>43</v>
      </c>
      <c r="J1463" s="21">
        <f t="shared" ref="J1463:K1463" si="2217">SUM(J1462)</f>
        <v>81</v>
      </c>
      <c r="K1463" s="21">
        <f t="shared" si="2217"/>
        <v>180</v>
      </c>
      <c r="L1463" s="21">
        <f t="shared" ref="L1463:M1463" si="2218">SUM(L1462)</f>
        <v>182</v>
      </c>
      <c r="M1463" s="21">
        <f t="shared" si="2218"/>
        <v>81</v>
      </c>
      <c r="N1463" s="128">
        <f>SUM(N1462)</f>
        <v>1000</v>
      </c>
      <c r="O1463" s="22">
        <f>SUM(O1462)</f>
        <v>83.333333333333329</v>
      </c>
    </row>
    <row r="1464" spans="1:26" s="9" customFormat="1" ht="15.75">
      <c r="A1464" s="56" t="s">
        <v>112</v>
      </c>
      <c r="B1464" s="22">
        <f t="shared" ref="B1464:G1464" si="2219">IF(B1463=0,"",B1463/B$1676)</f>
        <v>2.032258064516129</v>
      </c>
      <c r="C1464" s="22">
        <f t="shared" si="2219"/>
        <v>3.4285714285714284</v>
      </c>
      <c r="D1464" s="22">
        <f t="shared" si="2219"/>
        <v>3.967741935483871</v>
      </c>
      <c r="E1464" s="22">
        <f t="shared" si="2219"/>
        <v>0.23333333333333334</v>
      </c>
      <c r="F1464" s="22">
        <f t="shared" si="2219"/>
        <v>0.41935483870967744</v>
      </c>
      <c r="G1464" s="22">
        <f t="shared" si="2219"/>
        <v>1.9333333333333333</v>
      </c>
      <c r="H1464" s="22">
        <f t="shared" ref="H1464:I1464" si="2220">IF(H1463=0,"",H1463/H$1676)</f>
        <v>2.3548387096774195</v>
      </c>
      <c r="I1464" s="22">
        <f t="shared" si="2220"/>
        <v>1.3870967741935485</v>
      </c>
      <c r="J1464" s="22">
        <f t="shared" ref="J1464:K1464" si="2221">IF(J1463=0,"",J1463/J$1676)</f>
        <v>2.7</v>
      </c>
      <c r="K1464" s="22">
        <f t="shared" si="2221"/>
        <v>5.806451612903226</v>
      </c>
      <c r="L1464" s="22">
        <f t="shared" ref="L1464:M1464" si="2222">IF(L1463=0,"",L1463/L$1676)</f>
        <v>6.0666666666666664</v>
      </c>
      <c r="M1464" s="22">
        <f t="shared" si="2222"/>
        <v>2.6129032258064515</v>
      </c>
      <c r="N1464" s="128">
        <f>SUM(B1464:M1464)</f>
        <v>32.942549923195081</v>
      </c>
      <c r="O1464" s="22">
        <f>IF(N1464=0,0,AVERAGE(B1464:M1464))</f>
        <v>2.7452124935995901</v>
      </c>
      <c r="P1464" s="96"/>
      <c r="Q1464" s="96"/>
      <c r="R1464" s="96"/>
      <c r="S1464" s="96"/>
      <c r="T1464" s="96"/>
      <c r="U1464" s="96"/>
      <c r="V1464" s="96"/>
      <c r="W1464" s="96"/>
      <c r="X1464" s="96"/>
      <c r="Y1464" s="96"/>
      <c r="Z1464" s="96"/>
    </row>
    <row r="1465" spans="1:26" s="9" customFormat="1">
      <c r="A1465" s="80"/>
      <c r="B1465" s="101"/>
      <c r="C1465" s="101"/>
      <c r="D1465" s="101"/>
      <c r="E1465" s="101"/>
      <c r="F1465" s="101"/>
      <c r="G1465" s="101"/>
      <c r="H1465" s="101"/>
      <c r="I1465" s="101"/>
      <c r="J1465" s="101"/>
      <c r="K1465" s="101"/>
      <c r="L1465" s="101"/>
      <c r="M1465" s="101"/>
      <c r="N1465" s="151"/>
      <c r="O1465" s="102"/>
      <c r="P1465" s="96"/>
      <c r="Q1465" s="96"/>
      <c r="R1465" s="96"/>
      <c r="S1465" s="96"/>
      <c r="T1465" s="96"/>
      <c r="U1465" s="96"/>
      <c r="V1465" s="96"/>
      <c r="W1465" s="96"/>
      <c r="X1465" s="96"/>
      <c r="Y1465" s="96"/>
      <c r="Z1465" s="96"/>
    </row>
    <row r="1466" spans="1:26" s="9" customFormat="1" ht="15.75">
      <c r="A1466" s="60" t="s">
        <v>672</v>
      </c>
      <c r="B1466" s="75"/>
      <c r="C1466" s="75"/>
      <c r="D1466" s="75"/>
      <c r="E1466" s="75"/>
      <c r="F1466" s="75"/>
      <c r="G1466" s="75"/>
      <c r="H1466" s="75"/>
      <c r="I1466" s="75"/>
      <c r="J1466" s="75"/>
      <c r="K1466" s="75"/>
      <c r="L1466" s="75"/>
      <c r="M1466" s="75"/>
      <c r="N1466" s="146"/>
      <c r="O1466" s="76"/>
      <c r="P1466" s="96"/>
      <c r="Q1466" s="96"/>
      <c r="R1466" s="96"/>
      <c r="S1466" s="96"/>
      <c r="T1466" s="96"/>
      <c r="U1466" s="96"/>
      <c r="V1466" s="96"/>
      <c r="W1466" s="96"/>
      <c r="X1466" s="96"/>
      <c r="Y1466" s="96"/>
      <c r="Z1466" s="96"/>
    </row>
    <row r="1467" spans="1:26" s="9" customFormat="1" ht="15.75">
      <c r="A1467" s="37" t="s">
        <v>18</v>
      </c>
      <c r="B1467" s="18">
        <v>34</v>
      </c>
      <c r="C1467" s="18">
        <v>41</v>
      </c>
      <c r="D1467" s="18">
        <v>8</v>
      </c>
      <c r="E1467" s="18">
        <v>0</v>
      </c>
      <c r="F1467" s="18">
        <v>4</v>
      </c>
      <c r="G1467" s="18">
        <v>20</v>
      </c>
      <c r="H1467" s="18">
        <v>34</v>
      </c>
      <c r="I1467" s="18">
        <v>28</v>
      </c>
      <c r="J1467" s="18">
        <v>23</v>
      </c>
      <c r="K1467" s="81">
        <v>92</v>
      </c>
      <c r="L1467" s="18">
        <v>145</v>
      </c>
      <c r="M1467" s="18">
        <v>54</v>
      </c>
      <c r="N1467" s="133">
        <f>SUM(B1467:M1467)</f>
        <v>483</v>
      </c>
      <c r="O1467" s="19">
        <f>IF(N1467=0,0,AVERAGE(B1467:M1467))</f>
        <v>40.25</v>
      </c>
      <c r="P1467" s="96"/>
      <c r="Q1467" s="96"/>
      <c r="R1467" s="96"/>
      <c r="S1467" s="96"/>
      <c r="T1467" s="96"/>
      <c r="U1467" s="96"/>
      <c r="V1467" s="96"/>
      <c r="W1467" s="96"/>
      <c r="X1467" s="96"/>
      <c r="Y1467" s="96"/>
      <c r="Z1467" s="96"/>
    </row>
    <row r="1468" spans="1:26" s="9" customFormat="1" ht="15.75">
      <c r="A1468" s="37" t="s">
        <v>19</v>
      </c>
      <c r="B1468" s="18">
        <v>0</v>
      </c>
      <c r="C1468" s="18">
        <v>0</v>
      </c>
      <c r="D1468" s="18">
        <v>26</v>
      </c>
      <c r="E1468" s="18">
        <v>7</v>
      </c>
      <c r="F1468" s="18">
        <v>3</v>
      </c>
      <c r="G1468" s="18">
        <v>0</v>
      </c>
      <c r="H1468" s="18">
        <v>3</v>
      </c>
      <c r="I1468" s="18">
        <v>0</v>
      </c>
      <c r="J1468" s="18">
        <v>0</v>
      </c>
      <c r="K1468" s="81">
        <v>0</v>
      </c>
      <c r="L1468" s="18">
        <v>31</v>
      </c>
      <c r="M1468" s="18">
        <v>0</v>
      </c>
      <c r="N1468" s="133">
        <f>SUM(B1468:M1468)</f>
        <v>70</v>
      </c>
      <c r="O1468" s="19">
        <f>IF(N1468=0,0,AVERAGE(B1468:M1468))</f>
        <v>5.833333333333333</v>
      </c>
      <c r="P1468" s="96"/>
      <c r="Q1468" s="96"/>
      <c r="R1468" s="96"/>
      <c r="S1468" s="96"/>
      <c r="T1468" s="96"/>
      <c r="U1468" s="96"/>
      <c r="V1468" s="96"/>
      <c r="W1468" s="96"/>
      <c r="X1468" s="96"/>
      <c r="Y1468" s="96"/>
      <c r="Z1468" s="96"/>
    </row>
    <row r="1469" spans="1:26" s="9" customFormat="1" ht="15.75">
      <c r="A1469" s="34" t="s">
        <v>20</v>
      </c>
      <c r="B1469" s="18">
        <v>29</v>
      </c>
      <c r="C1469" s="18">
        <v>52</v>
      </c>
      <c r="D1469" s="18">
        <v>89</v>
      </c>
      <c r="E1469" s="18">
        <v>0</v>
      </c>
      <c r="F1469" s="18">
        <v>5</v>
      </c>
      <c r="G1469" s="18">
        <v>38</v>
      </c>
      <c r="H1469" s="18">
        <v>35</v>
      </c>
      <c r="I1469" s="18">
        <v>15</v>
      </c>
      <c r="J1469" s="18">
        <v>58</v>
      </c>
      <c r="K1469" s="18">
        <v>87</v>
      </c>
      <c r="L1469" s="18">
        <v>6</v>
      </c>
      <c r="M1469" s="18">
        <v>25</v>
      </c>
      <c r="N1469" s="133">
        <f>SUM(B1469:M1469)</f>
        <v>439</v>
      </c>
      <c r="O1469" s="19">
        <f>IF(N1469=0,0,AVERAGE(B1469:M1469))</f>
        <v>36.583333333333336</v>
      </c>
      <c r="P1469" s="96"/>
      <c r="Q1469" s="96"/>
      <c r="R1469" s="96"/>
      <c r="S1469" s="96"/>
      <c r="T1469" s="96"/>
      <c r="U1469" s="96"/>
      <c r="V1469" s="96"/>
      <c r="W1469" s="96"/>
      <c r="X1469" s="96"/>
      <c r="Y1469" s="96"/>
      <c r="Z1469" s="96"/>
    </row>
    <row r="1470" spans="1:26" s="9" customFormat="1" ht="15.75">
      <c r="A1470" s="74" t="s">
        <v>21</v>
      </c>
      <c r="B1470" s="21">
        <f t="shared" ref="B1470" si="2223">SUM(B1467:B1469)</f>
        <v>63</v>
      </c>
      <c r="C1470" s="21">
        <f t="shared" ref="C1470:H1470" si="2224">SUM(C1467:C1469)</f>
        <v>93</v>
      </c>
      <c r="D1470" s="21">
        <f t="shared" si="2224"/>
        <v>123</v>
      </c>
      <c r="E1470" s="21">
        <f t="shared" si="2224"/>
        <v>7</v>
      </c>
      <c r="F1470" s="21">
        <f t="shared" si="2224"/>
        <v>12</v>
      </c>
      <c r="G1470" s="21">
        <f t="shared" si="2224"/>
        <v>58</v>
      </c>
      <c r="H1470" s="21">
        <f t="shared" si="2224"/>
        <v>72</v>
      </c>
      <c r="I1470" s="21">
        <f t="shared" ref="I1470:J1470" si="2225">SUM(I1467:I1469)</f>
        <v>43</v>
      </c>
      <c r="J1470" s="21">
        <f t="shared" si="2225"/>
        <v>81</v>
      </c>
      <c r="K1470" s="21">
        <f t="shared" ref="K1470:L1470" si="2226">SUM(K1467:K1469)</f>
        <v>179</v>
      </c>
      <c r="L1470" s="21">
        <f t="shared" si="2226"/>
        <v>182</v>
      </c>
      <c r="M1470" s="21">
        <f t="shared" ref="M1470" si="2227">SUM(M1467:M1469)</f>
        <v>79</v>
      </c>
      <c r="N1470" s="128">
        <f>SUM(N1465:N1469)</f>
        <v>992</v>
      </c>
      <c r="O1470" s="22">
        <f>SUM(O1465:O1469)</f>
        <v>82.666666666666671</v>
      </c>
      <c r="P1470" s="96"/>
      <c r="Q1470" s="96"/>
      <c r="R1470" s="96"/>
      <c r="S1470" s="96"/>
      <c r="T1470" s="96"/>
      <c r="U1470" s="96"/>
      <c r="V1470" s="96"/>
      <c r="W1470" s="96"/>
      <c r="X1470" s="96"/>
      <c r="Y1470" s="96"/>
      <c r="Z1470" s="96"/>
    </row>
    <row r="1471" spans="1:26" s="9" customFormat="1" ht="15.75">
      <c r="A1471" s="56" t="s">
        <v>112</v>
      </c>
      <c r="B1471" s="22">
        <f t="shared" ref="B1471:G1471" si="2228">IF(B1470=0,"",B1470/B$1676)</f>
        <v>2.032258064516129</v>
      </c>
      <c r="C1471" s="22">
        <f t="shared" si="2228"/>
        <v>3.3214285714285716</v>
      </c>
      <c r="D1471" s="22">
        <f t="shared" si="2228"/>
        <v>3.967741935483871</v>
      </c>
      <c r="E1471" s="22">
        <f t="shared" si="2228"/>
        <v>0.23333333333333334</v>
      </c>
      <c r="F1471" s="22">
        <f t="shared" si="2228"/>
        <v>0.38709677419354838</v>
      </c>
      <c r="G1471" s="22">
        <f t="shared" si="2228"/>
        <v>1.9333333333333333</v>
      </c>
      <c r="H1471" s="22">
        <f t="shared" ref="H1471:I1471" si="2229">IF(H1470=0,"",H1470/H$1676)</f>
        <v>2.3225806451612905</v>
      </c>
      <c r="I1471" s="22">
        <f t="shared" si="2229"/>
        <v>1.3870967741935485</v>
      </c>
      <c r="J1471" s="22">
        <f t="shared" ref="J1471:K1471" si="2230">IF(J1470=0,"",J1470/J$1676)</f>
        <v>2.7</v>
      </c>
      <c r="K1471" s="22">
        <f t="shared" si="2230"/>
        <v>5.774193548387097</v>
      </c>
      <c r="L1471" s="22">
        <f t="shared" ref="L1471:M1471" si="2231">IF(L1470=0,"",L1470/L$1676)</f>
        <v>6.0666666666666664</v>
      </c>
      <c r="M1471" s="22">
        <f t="shared" si="2231"/>
        <v>2.5483870967741935</v>
      </c>
      <c r="N1471" s="128">
        <f>SUM(B1471:M1471)</f>
        <v>32.674116743471579</v>
      </c>
      <c r="O1471" s="22">
        <f>IF(N1471=0,0,AVERAGE(B1471:M1471))</f>
        <v>2.7228430619559649</v>
      </c>
      <c r="P1471" s="96"/>
      <c r="Q1471" s="96"/>
      <c r="R1471" s="96"/>
      <c r="S1471" s="96"/>
      <c r="T1471" s="96"/>
      <c r="U1471" s="96"/>
      <c r="V1471" s="96"/>
      <c r="W1471" s="96"/>
      <c r="X1471" s="96"/>
      <c r="Y1471" s="96"/>
      <c r="Z1471" s="96"/>
    </row>
    <row r="1472" spans="1:26" s="347" customFormat="1" ht="15.75">
      <c r="A1472" s="344"/>
      <c r="B1472" s="125"/>
      <c r="C1472" s="125"/>
      <c r="D1472" s="125"/>
      <c r="E1472" s="125"/>
      <c r="F1472" s="125"/>
      <c r="G1472" s="125"/>
      <c r="H1472" s="125"/>
      <c r="I1472" s="125"/>
      <c r="J1472" s="125"/>
      <c r="K1472" s="125"/>
      <c r="L1472" s="125"/>
      <c r="M1472" s="125"/>
      <c r="N1472" s="155"/>
      <c r="O1472" s="125"/>
      <c r="P1472" s="376"/>
      <c r="Q1472" s="376"/>
      <c r="R1472" s="376"/>
      <c r="S1472" s="376"/>
      <c r="T1472" s="376"/>
      <c r="U1472" s="376"/>
      <c r="V1472" s="376"/>
      <c r="W1472" s="376"/>
      <c r="X1472" s="376"/>
      <c r="Y1472" s="376"/>
      <c r="Z1472" s="376"/>
    </row>
    <row r="1473" spans="1:26" s="347" customFormat="1" ht="31.5">
      <c r="A1473" s="377" t="s">
        <v>680</v>
      </c>
      <c r="B1473" s="333">
        <v>0</v>
      </c>
      <c r="C1473" s="333">
        <v>3</v>
      </c>
      <c r="D1473" s="333">
        <v>0</v>
      </c>
      <c r="E1473" s="333">
        <v>0</v>
      </c>
      <c r="F1473" s="333">
        <v>1</v>
      </c>
      <c r="G1473" s="333">
        <v>0</v>
      </c>
      <c r="H1473" s="333">
        <v>1</v>
      </c>
      <c r="I1473" s="333">
        <v>0</v>
      </c>
      <c r="J1473" s="333">
        <v>0</v>
      </c>
      <c r="K1473" s="333">
        <v>1</v>
      </c>
      <c r="L1473" s="333">
        <v>0</v>
      </c>
      <c r="M1473" s="333">
        <v>2</v>
      </c>
      <c r="N1473" s="334">
        <f>SUM(B1473:M1473)</f>
        <v>8</v>
      </c>
      <c r="O1473" s="335">
        <f>IF(N1473=0,0,AVERAGE(B1473:M1473))</f>
        <v>0.66666666666666663</v>
      </c>
      <c r="P1473" s="376"/>
      <c r="Q1473" s="376"/>
      <c r="R1473" s="376"/>
      <c r="S1473" s="376"/>
      <c r="T1473" s="376"/>
      <c r="U1473" s="376"/>
      <c r="V1473" s="376"/>
      <c r="W1473" s="376"/>
      <c r="X1473" s="376"/>
      <c r="Y1473" s="376"/>
      <c r="Z1473" s="376"/>
    </row>
    <row r="1474" spans="1:26" s="9" customFormat="1">
      <c r="A1474"/>
      <c r="B1474"/>
      <c r="C1474"/>
      <c r="D1474"/>
      <c r="E1474"/>
      <c r="F1474"/>
      <c r="G1474"/>
      <c r="H1474"/>
      <c r="I1474"/>
      <c r="J1474"/>
      <c r="K1474"/>
      <c r="L1474"/>
      <c r="M1474"/>
      <c r="N1474"/>
      <c r="O1474"/>
      <c r="P1474" s="96"/>
      <c r="Q1474" s="96"/>
      <c r="R1474" s="96"/>
      <c r="S1474" s="96"/>
      <c r="T1474" s="96"/>
      <c r="U1474" s="96"/>
      <c r="V1474" s="96"/>
      <c r="W1474" s="96"/>
      <c r="X1474" s="96"/>
      <c r="Y1474" s="96"/>
      <c r="Z1474" s="96"/>
    </row>
    <row r="1475" spans="1:26" s="9" customFormat="1" ht="15.75">
      <c r="A1475" s="14" t="s">
        <v>201</v>
      </c>
      <c r="B1475" s="27"/>
      <c r="C1475" s="27"/>
      <c r="D1475" s="27"/>
      <c r="E1475" s="27"/>
      <c r="F1475" s="27"/>
      <c r="G1475" s="27"/>
      <c r="H1475" s="27"/>
      <c r="I1475" s="27"/>
      <c r="J1475" s="27"/>
      <c r="K1475" s="27"/>
      <c r="L1475" s="27"/>
      <c r="M1475" s="27"/>
      <c r="N1475" s="135"/>
      <c r="O1475" s="28"/>
      <c r="P1475" s="96"/>
      <c r="Q1475" s="96"/>
      <c r="R1475" s="96"/>
      <c r="S1475" s="96"/>
      <c r="T1475" s="96"/>
      <c r="U1475" s="96"/>
      <c r="V1475" s="96"/>
      <c r="W1475" s="96"/>
      <c r="X1475" s="96"/>
      <c r="Y1475" s="96"/>
      <c r="Z1475" s="96"/>
    </row>
    <row r="1476" spans="1:26" s="9" customFormat="1" ht="15.75">
      <c r="A1476" s="60" t="s">
        <v>202</v>
      </c>
      <c r="B1476" s="75"/>
      <c r="C1476" s="75"/>
      <c r="D1476" s="75"/>
      <c r="E1476" s="75"/>
      <c r="F1476" s="75"/>
      <c r="G1476" s="75"/>
      <c r="H1476" s="75"/>
      <c r="I1476" s="75"/>
      <c r="J1476" s="75"/>
      <c r="K1476" s="75"/>
      <c r="L1476" s="75"/>
      <c r="M1476" s="75"/>
      <c r="N1476" s="146"/>
      <c r="O1476" s="76"/>
      <c r="P1476" s="96"/>
      <c r="Q1476" s="96"/>
      <c r="R1476" s="96"/>
      <c r="S1476" s="96"/>
      <c r="T1476" s="96"/>
      <c r="U1476" s="96"/>
      <c r="V1476" s="96"/>
      <c r="W1476" s="96"/>
      <c r="X1476" s="96"/>
      <c r="Y1476" s="96"/>
      <c r="Z1476" s="96"/>
    </row>
    <row r="1477" spans="1:26" s="9" customFormat="1" ht="15.75">
      <c r="A1477" s="34" t="s">
        <v>19</v>
      </c>
      <c r="B1477" s="129">
        <v>728.6</v>
      </c>
      <c r="C1477" s="129">
        <v>670.31799999999998</v>
      </c>
      <c r="D1477" s="129">
        <v>744.3</v>
      </c>
      <c r="E1477" s="129">
        <v>613.53</v>
      </c>
      <c r="F1477" s="129">
        <v>589.29999999999995</v>
      </c>
      <c r="G1477" s="129">
        <v>604.70000000000005</v>
      </c>
      <c r="H1477" s="275">
        <v>767.8</v>
      </c>
      <c r="I1477" s="129">
        <v>744.9</v>
      </c>
      <c r="J1477" s="416">
        <v>617.95000000000005</v>
      </c>
      <c r="K1477" s="423">
        <v>429</v>
      </c>
      <c r="L1477" s="275">
        <v>640.51</v>
      </c>
      <c r="M1477" s="275">
        <v>768.5</v>
      </c>
      <c r="N1477" s="133">
        <f t="shared" ref="N1477:N1484" si="2232">SUM(B1477:M1477)</f>
        <v>7919.4079999999994</v>
      </c>
      <c r="O1477" s="19">
        <f t="shared" ref="O1477:O1484" si="2233">IF(N1477=0,0,AVERAGE(B1477:M1477))</f>
        <v>659.95066666666662</v>
      </c>
      <c r="P1477" s="96"/>
      <c r="Q1477" s="96"/>
      <c r="R1477" s="96"/>
      <c r="S1477" s="96"/>
      <c r="T1477" s="96"/>
      <c r="U1477" s="96"/>
      <c r="V1477" s="96"/>
      <c r="W1477" s="96"/>
      <c r="X1477" s="96"/>
      <c r="Y1477" s="96"/>
      <c r="Z1477" s="96"/>
    </row>
    <row r="1478" spans="1:26" s="9" customFormat="1" ht="15.75">
      <c r="A1478" s="34" t="s">
        <v>18</v>
      </c>
      <c r="B1478" s="275">
        <v>1054</v>
      </c>
      <c r="C1478" s="129">
        <v>1043.818</v>
      </c>
      <c r="D1478" s="129">
        <v>1533.1</v>
      </c>
      <c r="E1478" s="129">
        <v>1808.19</v>
      </c>
      <c r="F1478" s="129">
        <v>997.245</v>
      </c>
      <c r="G1478" s="129">
        <v>968.25</v>
      </c>
      <c r="H1478" s="129">
        <v>1131.8</v>
      </c>
      <c r="I1478" s="129">
        <v>1167.93</v>
      </c>
      <c r="J1478" s="416">
        <v>1113.52</v>
      </c>
      <c r="K1478" s="423">
        <v>994.2</v>
      </c>
      <c r="L1478" s="275">
        <v>1044.71</v>
      </c>
      <c r="M1478" s="275">
        <v>1126.4000000000001</v>
      </c>
      <c r="N1478" s="133">
        <f t="shared" si="2232"/>
        <v>13983.163000000002</v>
      </c>
      <c r="O1478" s="19">
        <f t="shared" si="2233"/>
        <v>1165.2635833333336</v>
      </c>
      <c r="P1478" s="96"/>
      <c r="Q1478" s="96"/>
      <c r="R1478" s="96"/>
      <c r="S1478" s="96"/>
      <c r="T1478" s="96"/>
      <c r="U1478" s="96"/>
      <c r="V1478" s="96"/>
      <c r="W1478" s="96"/>
      <c r="X1478" s="96"/>
      <c r="Y1478" s="96"/>
      <c r="Z1478" s="96"/>
    </row>
    <row r="1479" spans="1:26" s="9" customFormat="1" ht="15.75">
      <c r="A1479" s="34" t="s">
        <v>43</v>
      </c>
      <c r="B1479" s="129">
        <v>1753.3</v>
      </c>
      <c r="C1479" s="129">
        <v>1780.518</v>
      </c>
      <c r="D1479" s="129">
        <v>2395.3000000000002</v>
      </c>
      <c r="E1479" s="129">
        <v>2371.3200000000002</v>
      </c>
      <c r="F1479" s="129">
        <v>2015.2</v>
      </c>
      <c r="G1479" s="129">
        <v>1875.5</v>
      </c>
      <c r="H1479" s="129">
        <v>2020.8</v>
      </c>
      <c r="I1479" s="129">
        <v>2017.45</v>
      </c>
      <c r="J1479" s="275">
        <v>2216.75</v>
      </c>
      <c r="K1479" s="129">
        <v>2205.6</v>
      </c>
      <c r="L1479" s="129">
        <v>2305.5100000000002</v>
      </c>
      <c r="M1479" s="275">
        <v>2394</v>
      </c>
      <c r="N1479" s="133">
        <f t="shared" si="2232"/>
        <v>25351.248</v>
      </c>
      <c r="O1479" s="19">
        <f t="shared" si="2233"/>
        <v>2112.6039999999998</v>
      </c>
      <c r="P1479" s="96"/>
      <c r="Q1479" s="96"/>
      <c r="R1479" s="96"/>
      <c r="S1479" s="96"/>
      <c r="T1479" s="96"/>
      <c r="U1479" s="96"/>
      <c r="V1479" s="96"/>
      <c r="W1479" s="96"/>
      <c r="X1479" s="96"/>
      <c r="Y1479" s="96"/>
      <c r="Z1479" s="96"/>
    </row>
    <row r="1480" spans="1:26" s="9" customFormat="1" ht="15.75">
      <c r="A1480" s="34" t="s">
        <v>203</v>
      </c>
      <c r="B1480" s="129">
        <v>2505.2399999999998</v>
      </c>
      <c r="C1480" s="275">
        <v>2615.0650000000001</v>
      </c>
      <c r="D1480" s="129">
        <v>1491.37</v>
      </c>
      <c r="E1480" s="129">
        <v>754.63</v>
      </c>
      <c r="F1480" s="129">
        <v>2694.8449999999998</v>
      </c>
      <c r="G1480" s="129">
        <v>2659.64</v>
      </c>
      <c r="H1480" s="275">
        <v>2823.9250000000002</v>
      </c>
      <c r="I1480" s="129">
        <v>2772.2</v>
      </c>
      <c r="J1480" s="275">
        <v>2996.54</v>
      </c>
      <c r="K1480" s="129">
        <v>2919.05</v>
      </c>
      <c r="L1480" s="129">
        <v>2706.7</v>
      </c>
      <c r="M1480" s="129">
        <v>3303.49</v>
      </c>
      <c r="N1480" s="133">
        <f t="shared" si="2232"/>
        <v>30242.695</v>
      </c>
      <c r="O1480" s="19">
        <f t="shared" si="2233"/>
        <v>2520.2245833333332</v>
      </c>
      <c r="P1480" s="96"/>
      <c r="Q1480" s="96"/>
      <c r="R1480" s="96"/>
      <c r="S1480" s="96"/>
      <c r="T1480" s="96"/>
      <c r="U1480" s="96"/>
      <c r="V1480" s="96"/>
      <c r="W1480" s="96"/>
      <c r="X1480" s="96"/>
      <c r="Y1480" s="96"/>
      <c r="Z1480" s="96"/>
    </row>
    <row r="1481" spans="1:26" s="9" customFormat="1" ht="15.75">
      <c r="A1481" s="34" t="s">
        <v>204</v>
      </c>
      <c r="B1481" s="275">
        <v>428.8</v>
      </c>
      <c r="C1481" s="275">
        <v>373.81799999999998</v>
      </c>
      <c r="D1481" s="129">
        <v>461.8</v>
      </c>
      <c r="E1481" s="129">
        <v>433.6</v>
      </c>
      <c r="F1481" s="129">
        <v>472.1</v>
      </c>
      <c r="G1481" s="129">
        <v>455</v>
      </c>
      <c r="H1481" s="129">
        <v>585.20000000000005</v>
      </c>
      <c r="I1481" s="129">
        <v>619</v>
      </c>
      <c r="J1481" s="129">
        <v>545.04999999999995</v>
      </c>
      <c r="K1481" s="129">
        <v>648.1</v>
      </c>
      <c r="L1481" s="129">
        <v>566.29999999999995</v>
      </c>
      <c r="M1481" s="275">
        <v>641.4</v>
      </c>
      <c r="N1481" s="133">
        <f t="shared" si="2232"/>
        <v>6230.1680000000006</v>
      </c>
      <c r="O1481" s="19">
        <f t="shared" si="2233"/>
        <v>519.18066666666675</v>
      </c>
      <c r="P1481" s="96"/>
      <c r="Q1481" s="96"/>
      <c r="R1481" s="96"/>
      <c r="S1481" s="96"/>
      <c r="T1481" s="96"/>
      <c r="U1481" s="96"/>
      <c r="V1481" s="96"/>
      <c r="W1481" s="96"/>
      <c r="X1481" s="96"/>
      <c r="Y1481" s="96"/>
      <c r="Z1481" s="96"/>
    </row>
    <row r="1482" spans="1:26" s="9" customFormat="1" ht="15.75">
      <c r="A1482" s="34" t="s">
        <v>30</v>
      </c>
      <c r="B1482" s="129">
        <v>302.2</v>
      </c>
      <c r="C1482" s="129">
        <v>313.5</v>
      </c>
      <c r="D1482" s="129">
        <v>256.60000000000002</v>
      </c>
      <c r="E1482" s="129">
        <v>47.29</v>
      </c>
      <c r="F1482" s="129">
        <v>274.39999999999998</v>
      </c>
      <c r="G1482" s="129">
        <v>354</v>
      </c>
      <c r="H1482" s="129">
        <v>435.92500000000001</v>
      </c>
      <c r="I1482" s="129">
        <v>442</v>
      </c>
      <c r="J1482" s="275">
        <v>410.6</v>
      </c>
      <c r="K1482" s="129">
        <v>253.4</v>
      </c>
      <c r="L1482" s="129">
        <v>337.4</v>
      </c>
      <c r="M1482" s="275">
        <v>408.2</v>
      </c>
      <c r="N1482" s="133">
        <f t="shared" si="2232"/>
        <v>3835.5149999999999</v>
      </c>
      <c r="O1482" s="19">
        <f t="shared" si="2233"/>
        <v>319.62624999999997</v>
      </c>
      <c r="P1482" s="96"/>
      <c r="Q1482" s="96"/>
      <c r="R1482" s="96"/>
      <c r="S1482" s="96"/>
      <c r="T1482" s="96"/>
      <c r="U1482" s="96"/>
      <c r="V1482" s="96"/>
      <c r="W1482" s="96"/>
      <c r="X1482" s="96"/>
      <c r="Y1482" s="96"/>
      <c r="Z1482" s="96"/>
    </row>
    <row r="1483" spans="1:26" s="9" customFormat="1" ht="15.75">
      <c r="A1483" s="34" t="s">
        <v>205</v>
      </c>
      <c r="B1483" s="129">
        <v>415.5</v>
      </c>
      <c r="C1483" s="129">
        <v>397.7</v>
      </c>
      <c r="D1483" s="129">
        <v>495.3</v>
      </c>
      <c r="E1483" s="129">
        <v>465.88</v>
      </c>
      <c r="F1483" s="129">
        <v>388.8</v>
      </c>
      <c r="G1483" s="129">
        <v>362.9</v>
      </c>
      <c r="H1483" s="129">
        <v>365.6</v>
      </c>
      <c r="I1483" s="129">
        <v>492.7</v>
      </c>
      <c r="J1483" s="129">
        <v>463.9</v>
      </c>
      <c r="K1483" s="129">
        <v>451.1</v>
      </c>
      <c r="L1483" s="129">
        <v>445.4</v>
      </c>
      <c r="M1483" s="275">
        <v>757.8</v>
      </c>
      <c r="N1483" s="133">
        <f t="shared" si="2232"/>
        <v>5502.58</v>
      </c>
      <c r="O1483" s="19">
        <f t="shared" si="2233"/>
        <v>458.54833333333335</v>
      </c>
      <c r="P1483" s="96"/>
      <c r="Q1483" s="96"/>
      <c r="R1483" s="96"/>
      <c r="S1483" s="96"/>
      <c r="T1483" s="96"/>
      <c r="U1483" s="96"/>
      <c r="V1483" s="96"/>
      <c r="W1483" s="96"/>
      <c r="X1483" s="96"/>
      <c r="Y1483" s="96"/>
      <c r="Z1483" s="96"/>
    </row>
    <row r="1484" spans="1:26" s="9" customFormat="1" ht="15.75">
      <c r="A1484" s="34" t="s">
        <v>206</v>
      </c>
      <c r="B1484" s="129">
        <v>236.2</v>
      </c>
      <c r="C1484" s="129">
        <v>202.4</v>
      </c>
      <c r="D1484" s="129">
        <v>324.60000000000002</v>
      </c>
      <c r="E1484" s="129">
        <v>316.89999999999998</v>
      </c>
      <c r="F1484" s="129">
        <v>352.9</v>
      </c>
      <c r="G1484" s="129">
        <v>326.60000000000002</v>
      </c>
      <c r="H1484" s="129">
        <v>199.6</v>
      </c>
      <c r="I1484" s="129">
        <v>215.8</v>
      </c>
      <c r="J1484" s="129">
        <v>225.5</v>
      </c>
      <c r="K1484" s="129">
        <v>270.10000000000002</v>
      </c>
      <c r="L1484" s="129">
        <v>279.5</v>
      </c>
      <c r="M1484" s="275">
        <v>64</v>
      </c>
      <c r="N1484" s="133">
        <f t="shared" si="2232"/>
        <v>3014.1</v>
      </c>
      <c r="O1484" s="19">
        <f t="shared" si="2233"/>
        <v>251.17499999999998</v>
      </c>
      <c r="P1484" s="96"/>
      <c r="Q1484" s="96"/>
      <c r="R1484" s="96"/>
      <c r="S1484" s="96"/>
      <c r="T1484" s="96"/>
      <c r="U1484" s="96"/>
      <c r="V1484" s="96"/>
      <c r="W1484" s="96"/>
      <c r="X1484" s="96"/>
      <c r="Y1484" s="96"/>
      <c r="Z1484" s="96"/>
    </row>
    <row r="1485" spans="1:26" s="9" customFormat="1" ht="15.75">
      <c r="A1485" s="56" t="s">
        <v>21</v>
      </c>
      <c r="B1485" s="22">
        <f t="shared" ref="B1485:C1485" si="2234">SUM(B1477:B1484)</f>
        <v>7423.8399999999992</v>
      </c>
      <c r="C1485" s="22">
        <f t="shared" si="2234"/>
        <v>7397.1369999999997</v>
      </c>
      <c r="D1485" s="22">
        <f t="shared" ref="D1485:E1485" si="2235">SUM(D1477:D1484)</f>
        <v>7702.3700000000008</v>
      </c>
      <c r="E1485" s="22">
        <f t="shared" si="2235"/>
        <v>6811.3400000000011</v>
      </c>
      <c r="F1485" s="22">
        <f t="shared" ref="F1485:G1485" si="2236">SUM(F1477:F1484)</f>
        <v>7784.79</v>
      </c>
      <c r="G1485" s="22">
        <f t="shared" si="2236"/>
        <v>7606.59</v>
      </c>
      <c r="H1485" s="22">
        <f t="shared" ref="H1485:I1485" si="2237">SUM(H1477:H1484)</f>
        <v>8330.65</v>
      </c>
      <c r="I1485" s="22">
        <f t="shared" si="2237"/>
        <v>8471.98</v>
      </c>
      <c r="J1485" s="22">
        <f t="shared" ref="J1485:K1485" si="2238">SUM(J1477:J1484)</f>
        <v>8589.8100000000013</v>
      </c>
      <c r="K1485" s="22">
        <f t="shared" si="2238"/>
        <v>8170.5500000000011</v>
      </c>
      <c r="L1485" s="22">
        <f t="shared" ref="L1485:M1485" si="2239">SUM(L1477:L1484)</f>
        <v>8326.0299999999988</v>
      </c>
      <c r="M1485" s="22">
        <f t="shared" si="2239"/>
        <v>9463.7899999999991</v>
      </c>
      <c r="N1485" s="128">
        <f>SUM(N1477:N1484)</f>
        <v>96078.877000000008</v>
      </c>
      <c r="O1485" s="22">
        <f>SUM(O1477:O1484)</f>
        <v>8006.5730833333337</v>
      </c>
      <c r="P1485" s="96"/>
      <c r="Q1485" s="96"/>
      <c r="R1485" s="96"/>
      <c r="S1485" s="96"/>
      <c r="T1485" s="96"/>
      <c r="U1485" s="96"/>
      <c r="V1485" s="96"/>
      <c r="W1485" s="96"/>
      <c r="X1485" s="96"/>
      <c r="Y1485" s="96"/>
      <c r="Z1485" s="96"/>
    </row>
    <row r="1486" spans="1:26" s="9" customFormat="1" ht="15.75">
      <c r="A1486" s="56" t="s">
        <v>112</v>
      </c>
      <c r="B1486" s="22">
        <f t="shared" ref="B1486:G1486" si="2240">IF(B1485=0,"",B1485/B$1676)</f>
        <v>239.47870967741932</v>
      </c>
      <c r="C1486" s="22">
        <f t="shared" si="2240"/>
        <v>264.18346428571425</v>
      </c>
      <c r="D1486" s="22">
        <f t="shared" si="2240"/>
        <v>248.46354838709681</v>
      </c>
      <c r="E1486" s="22">
        <f t="shared" si="2240"/>
        <v>227.0446666666667</v>
      </c>
      <c r="F1486" s="22">
        <f t="shared" si="2240"/>
        <v>251.12225806451613</v>
      </c>
      <c r="G1486" s="22">
        <f t="shared" si="2240"/>
        <v>253.553</v>
      </c>
      <c r="H1486" s="22">
        <f t="shared" ref="H1486:I1486" si="2241">IF(H1485=0,"",H1485/H$1676)</f>
        <v>268.73064516129028</v>
      </c>
      <c r="I1486" s="22">
        <f t="shared" si="2241"/>
        <v>273.2896774193548</v>
      </c>
      <c r="J1486" s="22">
        <f t="shared" ref="J1486:K1486" si="2242">IF(J1485=0,"",J1485/J$1676)</f>
        <v>286.32700000000006</v>
      </c>
      <c r="K1486" s="22">
        <f t="shared" si="2242"/>
        <v>263.56612903225812</v>
      </c>
      <c r="L1486" s="22">
        <f t="shared" ref="L1486:M1486" si="2243">IF(L1485=0,"",L1485/L$1676)</f>
        <v>277.53433333333328</v>
      </c>
      <c r="M1486" s="22">
        <f t="shared" si="2243"/>
        <v>305.28354838709674</v>
      </c>
      <c r="N1486" s="128">
        <f>SUM(B1486:M1486)</f>
        <v>3158.5769804147467</v>
      </c>
      <c r="O1486" s="22">
        <f>IF(N1486=0,0,AVERAGE(B1486:M1486))</f>
        <v>263.21474836789554</v>
      </c>
      <c r="P1486" s="96"/>
      <c r="Q1486" s="96"/>
      <c r="R1486" s="96"/>
      <c r="S1486" s="96"/>
      <c r="T1486" s="96"/>
      <c r="U1486" s="96"/>
      <c r="V1486" s="96"/>
      <c r="W1486" s="96"/>
      <c r="X1486" s="96"/>
      <c r="Y1486" s="96"/>
      <c r="Z1486" s="96"/>
    </row>
    <row r="1487" spans="1:26" s="9" customFormat="1">
      <c r="A1487" s="23"/>
      <c r="B1487" s="24"/>
      <c r="C1487" s="24"/>
      <c r="D1487" s="24"/>
      <c r="E1487" s="24"/>
      <c r="F1487" s="24"/>
      <c r="G1487" s="24"/>
      <c r="H1487" s="24"/>
      <c r="I1487" s="25"/>
      <c r="J1487" s="25"/>
      <c r="K1487" s="25"/>
      <c r="L1487" s="25"/>
      <c r="M1487" s="25"/>
      <c r="N1487" s="134"/>
      <c r="O1487" s="13"/>
      <c r="P1487" s="96"/>
      <c r="Q1487" s="96"/>
      <c r="R1487" s="96"/>
      <c r="S1487" s="96"/>
      <c r="T1487" s="96"/>
      <c r="U1487" s="96"/>
      <c r="V1487" s="96"/>
      <c r="W1487" s="96"/>
      <c r="X1487" s="96"/>
      <c r="Y1487" s="96"/>
      <c r="Z1487" s="96"/>
    </row>
    <row r="1488" spans="1:26" s="9" customFormat="1" ht="15.75">
      <c r="A1488" s="60" t="s">
        <v>625</v>
      </c>
      <c r="B1488" s="75"/>
      <c r="C1488" s="75"/>
      <c r="D1488" s="75"/>
      <c r="E1488" s="75"/>
      <c r="F1488" s="75"/>
      <c r="G1488" s="75"/>
      <c r="H1488" s="75"/>
      <c r="I1488" s="75"/>
      <c r="J1488" s="75"/>
      <c r="K1488" s="75"/>
      <c r="L1488" s="75"/>
      <c r="M1488" s="75"/>
      <c r="N1488" s="146"/>
      <c r="O1488" s="76"/>
      <c r="P1488" s="96"/>
      <c r="Q1488" s="96"/>
      <c r="R1488" s="96"/>
      <c r="S1488" s="96"/>
      <c r="T1488" s="96"/>
      <c r="U1488" s="96"/>
      <c r="V1488" s="96"/>
      <c r="W1488" s="96"/>
      <c r="X1488" s="96"/>
      <c r="Y1488" s="96"/>
      <c r="Z1488" s="96"/>
    </row>
    <row r="1489" spans="1:26" s="9" customFormat="1" ht="15.75">
      <c r="A1489" s="29" t="s">
        <v>207</v>
      </c>
      <c r="B1489" s="19">
        <f t="shared" ref="B1489:C1489" si="2244">B1485</f>
        <v>7423.8399999999992</v>
      </c>
      <c r="C1489" s="19">
        <f t="shared" si="2244"/>
        <v>7397.1369999999997</v>
      </c>
      <c r="D1489" s="19">
        <f t="shared" ref="D1489:E1489" si="2245">D1485</f>
        <v>7702.3700000000008</v>
      </c>
      <c r="E1489" s="19">
        <f t="shared" si="2245"/>
        <v>6811.3400000000011</v>
      </c>
      <c r="F1489" s="19">
        <f t="shared" ref="F1489:G1489" si="2246">F1485</f>
        <v>7784.79</v>
      </c>
      <c r="G1489" s="19">
        <f t="shared" si="2246"/>
        <v>7606.59</v>
      </c>
      <c r="H1489" s="19">
        <f t="shared" ref="H1489:I1489" si="2247">H1485</f>
        <v>8330.65</v>
      </c>
      <c r="I1489" s="19">
        <f t="shared" si="2247"/>
        <v>8471.98</v>
      </c>
      <c r="J1489" s="19">
        <f t="shared" ref="J1489:K1489" si="2248">J1485</f>
        <v>8589.8100000000013</v>
      </c>
      <c r="K1489" s="19">
        <f t="shared" si="2248"/>
        <v>8170.5500000000011</v>
      </c>
      <c r="L1489" s="19">
        <f t="shared" ref="L1489:M1489" si="2249">L1485</f>
        <v>8326.0299999999988</v>
      </c>
      <c r="M1489" s="19">
        <f t="shared" si="2249"/>
        <v>9463.7899999999991</v>
      </c>
      <c r="N1489" s="133">
        <f>N1485</f>
        <v>96078.877000000008</v>
      </c>
      <c r="O1489" s="19">
        <f>O1485</f>
        <v>8006.5730833333337</v>
      </c>
      <c r="P1489" s="96"/>
      <c r="Q1489" s="96"/>
      <c r="R1489" s="96"/>
      <c r="S1489" s="96"/>
      <c r="T1489" s="96"/>
      <c r="U1489" s="96"/>
      <c r="V1489" s="96"/>
      <c r="W1489" s="96"/>
      <c r="X1489" s="96"/>
      <c r="Y1489" s="96"/>
      <c r="Z1489" s="96"/>
    </row>
    <row r="1490" spans="1:26" s="9" customFormat="1" ht="15.75">
      <c r="A1490" s="29" t="s">
        <v>208</v>
      </c>
      <c r="B1490" s="19">
        <f t="shared" ref="B1490:C1490" si="2250">IF(B1485=0,"",B1485/B1676)</f>
        <v>239.47870967741932</v>
      </c>
      <c r="C1490" s="19">
        <f t="shared" si="2250"/>
        <v>264.18346428571425</v>
      </c>
      <c r="D1490" s="19">
        <f t="shared" ref="D1490:E1490" si="2251">IF(D1485=0,"",D1485/D1676)</f>
        <v>248.46354838709681</v>
      </c>
      <c r="E1490" s="19">
        <f t="shared" si="2251"/>
        <v>227.0446666666667</v>
      </c>
      <c r="F1490" s="19">
        <f t="shared" ref="F1490:G1490" si="2252">IF(F1485=0,"",F1485/F1676)</f>
        <v>251.12225806451613</v>
      </c>
      <c r="G1490" s="19">
        <f t="shared" si="2252"/>
        <v>253.553</v>
      </c>
      <c r="H1490" s="19">
        <f t="shared" ref="H1490:I1490" si="2253">IF(H1485=0,"",H1485/H1676)</f>
        <v>268.73064516129028</v>
      </c>
      <c r="I1490" s="19">
        <f t="shared" si="2253"/>
        <v>273.2896774193548</v>
      </c>
      <c r="J1490" s="19">
        <f t="shared" ref="J1490:K1490" si="2254">IF(J1485=0,"",J1485/J1676)</f>
        <v>286.32700000000006</v>
      </c>
      <c r="K1490" s="19">
        <f t="shared" si="2254"/>
        <v>263.56612903225812</v>
      </c>
      <c r="L1490" s="19">
        <f t="shared" ref="L1490:M1490" si="2255">IF(L1485=0,"",L1485/L1676)</f>
        <v>277.53433333333328</v>
      </c>
      <c r="M1490" s="19">
        <f t="shared" si="2255"/>
        <v>305.28354838709674</v>
      </c>
      <c r="N1490" s="133">
        <f>SUM(B1490:M1490)</f>
        <v>3158.5769804147467</v>
      </c>
      <c r="O1490" s="19">
        <f>IF(N1490=0,0,AVERAGE(B1490:M1490))</f>
        <v>263.21474836789554</v>
      </c>
      <c r="P1490" s="96"/>
      <c r="Q1490" s="96"/>
      <c r="R1490" s="96"/>
      <c r="S1490" s="96"/>
      <c r="T1490" s="96"/>
      <c r="U1490" s="96"/>
      <c r="V1490" s="96"/>
      <c r="W1490" s="96"/>
      <c r="X1490" s="96"/>
      <c r="Y1490" s="96"/>
      <c r="Z1490" s="96"/>
    </row>
    <row r="1491" spans="1:26" s="9" customFormat="1" ht="15.75">
      <c r="A1491" s="115"/>
      <c r="B1491" s="322"/>
      <c r="C1491" s="322"/>
      <c r="D1491" s="322"/>
      <c r="E1491" s="322"/>
      <c r="F1491" s="322"/>
      <c r="G1491" s="322"/>
      <c r="H1491" s="322"/>
      <c r="I1491" s="322"/>
      <c r="J1491" s="322"/>
      <c r="K1491" s="322"/>
      <c r="L1491" s="322"/>
      <c r="M1491" s="322"/>
      <c r="N1491" s="147"/>
      <c r="O1491" s="125"/>
      <c r="P1491" s="96"/>
      <c r="Q1491" s="96"/>
      <c r="R1491" s="96"/>
      <c r="S1491" s="96"/>
      <c r="T1491" s="96"/>
      <c r="U1491" s="96"/>
      <c r="V1491" s="96"/>
      <c r="W1491" s="96"/>
      <c r="X1491" s="96"/>
      <c r="Y1491" s="96"/>
      <c r="Z1491" s="96"/>
    </row>
    <row r="1492" spans="1:26" s="9" customFormat="1" ht="15.75">
      <c r="A1492" s="14" t="s">
        <v>701</v>
      </c>
      <c r="B1492" s="27"/>
      <c r="C1492" s="27"/>
      <c r="D1492" s="27"/>
      <c r="E1492" s="27"/>
      <c r="F1492" s="27"/>
      <c r="G1492" s="27"/>
      <c r="H1492" s="27"/>
      <c r="I1492" s="27"/>
      <c r="J1492" s="27"/>
      <c r="K1492" s="27"/>
      <c r="L1492" s="27"/>
      <c r="M1492" s="27"/>
      <c r="N1492" s="135"/>
      <c r="O1492" s="28"/>
      <c r="P1492" s="96"/>
      <c r="Q1492" s="96"/>
      <c r="R1492" s="96"/>
      <c r="S1492" s="96"/>
      <c r="T1492" s="96"/>
      <c r="U1492" s="96"/>
      <c r="V1492" s="96"/>
      <c r="W1492" s="96"/>
      <c r="X1492" s="96"/>
      <c r="Y1492" s="96"/>
      <c r="Z1492" s="96"/>
    </row>
    <row r="1493" spans="1:26" s="9" customFormat="1" ht="15.75">
      <c r="A1493" s="184" t="s">
        <v>706</v>
      </c>
      <c r="B1493" s="178"/>
      <c r="C1493" s="178"/>
      <c r="D1493" s="178"/>
      <c r="E1493" s="178"/>
      <c r="F1493" s="178"/>
      <c r="G1493" s="178"/>
      <c r="H1493" s="178"/>
      <c r="I1493" s="178"/>
      <c r="J1493" s="178"/>
      <c r="K1493" s="178"/>
      <c r="L1493" s="178"/>
      <c r="M1493" s="178"/>
      <c r="N1493" s="146"/>
      <c r="O1493" s="76"/>
      <c r="P1493" s="96"/>
      <c r="Q1493" s="96"/>
      <c r="R1493" s="96"/>
      <c r="S1493" s="96"/>
      <c r="T1493" s="96"/>
      <c r="U1493" s="96"/>
      <c r="V1493" s="96"/>
      <c r="W1493" s="96"/>
      <c r="X1493" s="96"/>
      <c r="Y1493" s="96"/>
      <c r="Z1493" s="96"/>
    </row>
    <row r="1494" spans="1:26" s="9" customFormat="1" ht="15.75">
      <c r="A1494" s="409" t="s">
        <v>703</v>
      </c>
      <c r="B1494" s="410">
        <v>1158.8</v>
      </c>
      <c r="C1494" s="410">
        <v>1351.29</v>
      </c>
      <c r="D1494" s="410">
        <v>1992.15</v>
      </c>
      <c r="E1494" s="410">
        <v>2763.35</v>
      </c>
      <c r="F1494" s="410">
        <v>1332</v>
      </c>
      <c r="G1494" s="410">
        <v>987.4</v>
      </c>
      <c r="H1494" s="410">
        <v>2169.4699999999998</v>
      </c>
      <c r="I1494" s="410">
        <v>1796</v>
      </c>
      <c r="J1494" s="417">
        <v>1540.96</v>
      </c>
      <c r="K1494" s="417">
        <v>1202.25</v>
      </c>
      <c r="L1494" s="410">
        <v>1463.15</v>
      </c>
      <c r="M1494" s="410">
        <v>1345.4</v>
      </c>
      <c r="N1494" s="177">
        <f t="shared" ref="N1494:N1496" si="2256">SUM(B1494:M1494)</f>
        <v>19102.22</v>
      </c>
      <c r="O1494" s="19">
        <f t="shared" ref="O1494:O1496" si="2257">IF(N1494=0,0,AVERAGE(B1494:M1494))</f>
        <v>1591.8516666666667</v>
      </c>
      <c r="P1494" s="96"/>
      <c r="Q1494" s="96"/>
      <c r="R1494" s="96"/>
      <c r="S1494" s="96"/>
      <c r="T1494" s="96"/>
      <c r="U1494" s="96"/>
      <c r="V1494" s="96"/>
      <c r="W1494" s="96"/>
      <c r="X1494" s="96"/>
      <c r="Y1494" s="96"/>
      <c r="Z1494" s="96"/>
    </row>
    <row r="1495" spans="1:26" s="9" customFormat="1" ht="15.75">
      <c r="A1495" s="409" t="s">
        <v>702</v>
      </c>
      <c r="B1495" s="410">
        <v>0</v>
      </c>
      <c r="C1495" s="410">
        <v>0</v>
      </c>
      <c r="D1495" s="410">
        <v>0</v>
      </c>
      <c r="E1495" s="410">
        <v>0</v>
      </c>
      <c r="F1495" s="410">
        <v>0</v>
      </c>
      <c r="G1495" s="410">
        <v>0</v>
      </c>
      <c r="H1495" s="410">
        <v>0</v>
      </c>
      <c r="I1495" s="410">
        <v>18</v>
      </c>
      <c r="J1495" s="410">
        <v>0</v>
      </c>
      <c r="K1495" s="410">
        <v>0</v>
      </c>
      <c r="L1495" s="410">
        <v>0</v>
      </c>
      <c r="M1495" s="410">
        <v>0</v>
      </c>
      <c r="N1495" s="177">
        <f t="shared" si="2256"/>
        <v>18</v>
      </c>
      <c r="O1495" s="19">
        <f t="shared" si="2257"/>
        <v>1.5</v>
      </c>
      <c r="P1495" s="96"/>
      <c r="Q1495" s="96"/>
      <c r="R1495" s="96"/>
      <c r="S1495" s="96"/>
      <c r="T1495" s="96"/>
      <c r="U1495" s="96"/>
      <c r="V1495" s="96"/>
      <c r="W1495" s="96"/>
      <c r="X1495" s="96"/>
      <c r="Y1495" s="96"/>
      <c r="Z1495" s="96"/>
    </row>
    <row r="1496" spans="1:26" s="9" customFormat="1" ht="15.75">
      <c r="A1496" s="409" t="s">
        <v>704</v>
      </c>
      <c r="B1496" s="410">
        <v>0</v>
      </c>
      <c r="C1496" s="410">
        <v>0</v>
      </c>
      <c r="D1496" s="410">
        <v>0</v>
      </c>
      <c r="E1496" s="410">
        <v>0</v>
      </c>
      <c r="F1496" s="410">
        <v>0</v>
      </c>
      <c r="G1496" s="410">
        <v>0</v>
      </c>
      <c r="H1496" s="410">
        <v>0</v>
      </c>
      <c r="I1496" s="410">
        <v>0</v>
      </c>
      <c r="J1496" s="410">
        <v>0</v>
      </c>
      <c r="K1496" s="410">
        <v>0</v>
      </c>
      <c r="L1496" s="410">
        <v>0</v>
      </c>
      <c r="M1496" s="410">
        <v>0</v>
      </c>
      <c r="N1496" s="177">
        <f t="shared" si="2256"/>
        <v>0</v>
      </c>
      <c r="O1496" s="19">
        <f t="shared" si="2257"/>
        <v>0</v>
      </c>
      <c r="P1496" s="96"/>
      <c r="Q1496" s="96"/>
      <c r="R1496" s="96"/>
      <c r="S1496" s="96"/>
      <c r="T1496" s="96"/>
      <c r="U1496" s="96"/>
      <c r="V1496" s="96"/>
      <c r="W1496" s="96"/>
      <c r="X1496" s="96"/>
      <c r="Y1496" s="96"/>
      <c r="Z1496" s="96"/>
    </row>
    <row r="1497" spans="1:26" s="9" customFormat="1" ht="15.75">
      <c r="A1497" s="409" t="s">
        <v>705</v>
      </c>
      <c r="B1497" s="410">
        <v>0</v>
      </c>
      <c r="C1497" s="410">
        <v>0</v>
      </c>
      <c r="D1497" s="410">
        <v>0</v>
      </c>
      <c r="E1497" s="410">
        <v>0</v>
      </c>
      <c r="F1497" s="410">
        <v>0</v>
      </c>
      <c r="G1497" s="410">
        <v>0</v>
      </c>
      <c r="H1497" s="410">
        <v>0</v>
      </c>
      <c r="I1497" s="410">
        <v>0</v>
      </c>
      <c r="J1497" s="410">
        <v>0</v>
      </c>
      <c r="K1497" s="410">
        <v>0</v>
      </c>
      <c r="L1497" s="410">
        <v>0</v>
      </c>
      <c r="M1497" s="410">
        <v>0</v>
      </c>
      <c r="N1497" s="177">
        <f t="shared" ref="N1497" si="2258">SUM(B1497:M1497)</f>
        <v>0</v>
      </c>
      <c r="O1497" s="19">
        <f t="shared" ref="O1497" si="2259">IF(N1497=0,0,AVERAGE(B1497:M1497))</f>
        <v>0</v>
      </c>
      <c r="P1497" s="96"/>
      <c r="Q1497" s="96"/>
      <c r="R1497" s="96"/>
      <c r="S1497" s="96"/>
      <c r="T1497" s="96"/>
      <c r="U1497" s="96"/>
      <c r="V1497" s="96"/>
      <c r="W1497" s="96"/>
      <c r="X1497" s="96"/>
      <c r="Y1497" s="96"/>
      <c r="Z1497" s="96"/>
    </row>
    <row r="1498" spans="1:26" s="9" customFormat="1" ht="15.75">
      <c r="A1498" s="112" t="s">
        <v>21</v>
      </c>
      <c r="B1498" s="114">
        <f t="shared" ref="B1498:G1498" si="2260">SUM(B1494:B1497)</f>
        <v>1158.8</v>
      </c>
      <c r="C1498" s="114">
        <f t="shared" si="2260"/>
        <v>1351.29</v>
      </c>
      <c r="D1498" s="114">
        <f t="shared" si="2260"/>
        <v>1992.15</v>
      </c>
      <c r="E1498" s="114">
        <f t="shared" si="2260"/>
        <v>2763.35</v>
      </c>
      <c r="F1498" s="114">
        <f t="shared" si="2260"/>
        <v>1332</v>
      </c>
      <c r="G1498" s="114">
        <f t="shared" si="2260"/>
        <v>987.4</v>
      </c>
      <c r="H1498" s="114">
        <f t="shared" ref="H1498:I1498" si="2261">SUM(H1494:H1497)</f>
        <v>2169.4699999999998</v>
      </c>
      <c r="I1498" s="114">
        <f t="shared" si="2261"/>
        <v>1814</v>
      </c>
      <c r="J1498" s="114">
        <f t="shared" ref="J1498:K1498" si="2262">SUM(J1494:J1497)</f>
        <v>1540.96</v>
      </c>
      <c r="K1498" s="114">
        <f t="shared" si="2262"/>
        <v>1202.25</v>
      </c>
      <c r="L1498" s="114">
        <f t="shared" ref="L1498:M1498" si="2263">SUM(L1494:L1497)</f>
        <v>1463.15</v>
      </c>
      <c r="M1498" s="114">
        <f t="shared" si="2263"/>
        <v>1345.4</v>
      </c>
      <c r="N1498" s="411">
        <f>SUM(N1494:N1497)</f>
        <v>19120.22</v>
      </c>
      <c r="O1498" s="335">
        <f>SUM(O1494:O1497)</f>
        <v>1593.3516666666667</v>
      </c>
      <c r="P1498" s="96"/>
      <c r="Q1498" s="96"/>
      <c r="R1498" s="96"/>
      <c r="S1498" s="96"/>
      <c r="T1498" s="96"/>
      <c r="U1498" s="96"/>
      <c r="V1498" s="96"/>
      <c r="W1498" s="96"/>
      <c r="X1498" s="96"/>
      <c r="Y1498" s="96"/>
      <c r="Z1498" s="96"/>
    </row>
    <row r="1499" spans="1:26" s="9" customFormat="1" ht="15.75">
      <c r="A1499" s="56" t="s">
        <v>112</v>
      </c>
      <c r="B1499" s="22">
        <f t="shared" ref="B1499:G1499" si="2264">IF(B1498=0,"",B1498/B$1676)</f>
        <v>37.380645161290325</v>
      </c>
      <c r="C1499" s="22">
        <f t="shared" si="2264"/>
        <v>48.260357142857139</v>
      </c>
      <c r="D1499" s="22">
        <f t="shared" si="2264"/>
        <v>64.262903225806454</v>
      </c>
      <c r="E1499" s="22">
        <f t="shared" si="2264"/>
        <v>92.111666666666665</v>
      </c>
      <c r="F1499" s="22">
        <f t="shared" si="2264"/>
        <v>42.967741935483872</v>
      </c>
      <c r="G1499" s="22">
        <f t="shared" si="2264"/>
        <v>32.913333333333334</v>
      </c>
      <c r="H1499" s="22">
        <f t="shared" ref="H1499:I1499" si="2265">IF(H1498=0,"",H1498/H$1676)</f>
        <v>69.982903225806439</v>
      </c>
      <c r="I1499" s="22">
        <f t="shared" si="2265"/>
        <v>58.516129032258064</v>
      </c>
      <c r="J1499" s="22">
        <f t="shared" ref="J1499:K1499" si="2266">IF(J1498=0,"",J1498/J$1676)</f>
        <v>51.365333333333332</v>
      </c>
      <c r="K1499" s="22">
        <f t="shared" si="2266"/>
        <v>38.782258064516128</v>
      </c>
      <c r="L1499" s="22">
        <f t="shared" ref="L1499:M1499" si="2267">IF(L1498=0,"",L1498/L$1676)</f>
        <v>48.771666666666668</v>
      </c>
      <c r="M1499" s="22">
        <f t="shared" si="2267"/>
        <v>43.400000000000006</v>
      </c>
      <c r="N1499" s="128">
        <f>SUM(B1499:M1499)</f>
        <v>628.71493778801846</v>
      </c>
      <c r="O1499" s="22">
        <f>IF(N1499=0,0,AVERAGE(B1499:M1499))</f>
        <v>52.392911482334874</v>
      </c>
      <c r="P1499" s="96"/>
      <c r="Q1499" s="96"/>
      <c r="R1499" s="96"/>
      <c r="S1499" s="96"/>
      <c r="T1499" s="96"/>
      <c r="U1499" s="96"/>
      <c r="V1499" s="96"/>
      <c r="W1499" s="96"/>
      <c r="X1499" s="96"/>
      <c r="Y1499" s="96"/>
      <c r="Z1499" s="96"/>
    </row>
    <row r="1500" spans="1:26" s="9" customFormat="1" ht="15.75">
      <c r="A1500" s="115"/>
      <c r="B1500" s="322"/>
      <c r="C1500" s="322"/>
      <c r="D1500" s="322"/>
      <c r="E1500" s="322"/>
      <c r="F1500" s="322"/>
      <c r="G1500" s="322"/>
      <c r="H1500" s="322"/>
      <c r="I1500" s="322"/>
      <c r="J1500" s="322"/>
      <c r="K1500" s="322"/>
      <c r="L1500" s="322"/>
      <c r="M1500" s="322"/>
      <c r="N1500" s="147"/>
      <c r="O1500" s="125"/>
      <c r="P1500" s="96"/>
      <c r="Q1500" s="96"/>
      <c r="R1500" s="96"/>
      <c r="S1500" s="96"/>
      <c r="T1500" s="96"/>
      <c r="U1500" s="96"/>
      <c r="V1500" s="96"/>
      <c r="W1500" s="96"/>
      <c r="X1500" s="96"/>
      <c r="Y1500" s="96"/>
      <c r="Z1500" s="96"/>
    </row>
    <row r="1501" spans="1:26" s="9" customFormat="1" ht="15.75">
      <c r="A1501" s="184" t="s">
        <v>710</v>
      </c>
      <c r="B1501" s="178"/>
      <c r="C1501" s="178"/>
      <c r="D1501" s="178"/>
      <c r="E1501" s="178"/>
      <c r="F1501" s="178"/>
      <c r="G1501" s="178"/>
      <c r="H1501" s="178"/>
      <c r="I1501" s="178"/>
      <c r="J1501" s="178"/>
      <c r="K1501" s="178"/>
      <c r="L1501" s="178"/>
      <c r="M1501" s="178"/>
      <c r="N1501" s="146"/>
      <c r="O1501" s="76"/>
      <c r="P1501" s="96"/>
      <c r="Q1501" s="96"/>
      <c r="R1501" s="96"/>
      <c r="S1501" s="96"/>
      <c r="T1501" s="96"/>
      <c r="U1501" s="96"/>
      <c r="V1501" s="96"/>
      <c r="W1501" s="96"/>
      <c r="X1501" s="96"/>
      <c r="Y1501" s="96"/>
      <c r="Z1501" s="96"/>
    </row>
    <row r="1502" spans="1:26" s="9" customFormat="1" ht="15.75">
      <c r="A1502" s="409" t="s">
        <v>703</v>
      </c>
      <c r="B1502" s="410">
        <v>3128.76</v>
      </c>
      <c r="C1502" s="410">
        <v>3648.48</v>
      </c>
      <c r="D1502" s="410">
        <v>5378.81</v>
      </c>
      <c r="E1502" s="410">
        <v>7461.05</v>
      </c>
      <c r="F1502" s="410">
        <v>3996.6</v>
      </c>
      <c r="G1502" s="410">
        <v>2962.2</v>
      </c>
      <c r="H1502" s="410">
        <v>6508.41</v>
      </c>
      <c r="I1502" s="410">
        <v>5388</v>
      </c>
      <c r="J1502" s="410">
        <v>4622.88</v>
      </c>
      <c r="K1502" s="410">
        <v>3606.75</v>
      </c>
      <c r="L1502" s="410">
        <v>4389.45</v>
      </c>
      <c r="M1502" s="410">
        <v>4036.2</v>
      </c>
      <c r="N1502" s="177">
        <f t="shared" ref="N1502:N1504" si="2268">SUM(B1502:M1502)</f>
        <v>55127.589999999989</v>
      </c>
      <c r="O1502" s="19">
        <f t="shared" ref="O1502:O1504" si="2269">IF(N1502=0,0,AVERAGE(B1502:M1502))</f>
        <v>4593.9658333333327</v>
      </c>
      <c r="P1502" s="96"/>
      <c r="Q1502" s="96"/>
      <c r="R1502" s="96"/>
      <c r="S1502" s="96"/>
      <c r="T1502" s="96"/>
      <c r="U1502" s="96"/>
      <c r="V1502" s="96"/>
      <c r="W1502" s="96"/>
      <c r="X1502" s="96"/>
      <c r="Y1502" s="96"/>
      <c r="Z1502" s="96"/>
    </row>
    <row r="1503" spans="1:26" s="9" customFormat="1" ht="15.75">
      <c r="A1503" s="409" t="s">
        <v>702</v>
      </c>
      <c r="B1503" s="410">
        <v>0</v>
      </c>
      <c r="C1503" s="410">
        <v>0</v>
      </c>
      <c r="D1503" s="410">
        <v>0</v>
      </c>
      <c r="E1503" s="410">
        <v>0</v>
      </c>
      <c r="F1503" s="410">
        <v>0</v>
      </c>
      <c r="G1503" s="410">
        <v>0</v>
      </c>
      <c r="H1503" s="410">
        <v>0</v>
      </c>
      <c r="I1503" s="410">
        <v>90</v>
      </c>
      <c r="J1503" s="410">
        <v>0</v>
      </c>
      <c r="K1503" s="410">
        <v>0</v>
      </c>
      <c r="L1503" s="410">
        <v>0</v>
      </c>
      <c r="M1503" s="410">
        <v>0</v>
      </c>
      <c r="N1503" s="177">
        <f t="shared" si="2268"/>
        <v>90</v>
      </c>
      <c r="O1503" s="19">
        <f t="shared" si="2269"/>
        <v>7.5</v>
      </c>
      <c r="P1503" s="96"/>
      <c r="Q1503" s="96"/>
      <c r="R1503" s="96"/>
      <c r="S1503" s="96"/>
      <c r="T1503" s="96"/>
      <c r="U1503" s="96"/>
      <c r="V1503" s="96"/>
      <c r="W1503" s="96"/>
      <c r="X1503" s="96"/>
      <c r="Y1503" s="96"/>
      <c r="Z1503" s="96"/>
    </row>
    <row r="1504" spans="1:26" s="9" customFormat="1" ht="15.75">
      <c r="A1504" s="409" t="s">
        <v>704</v>
      </c>
      <c r="B1504" s="410">
        <v>0</v>
      </c>
      <c r="C1504" s="410">
        <v>0</v>
      </c>
      <c r="D1504" s="410">
        <v>0</v>
      </c>
      <c r="E1504" s="410">
        <v>0</v>
      </c>
      <c r="F1504" s="410">
        <v>0</v>
      </c>
      <c r="G1504" s="410">
        <v>0</v>
      </c>
      <c r="H1504" s="410">
        <v>0</v>
      </c>
      <c r="I1504" s="410">
        <v>0</v>
      </c>
      <c r="J1504" s="410">
        <v>0</v>
      </c>
      <c r="K1504" s="410">
        <v>0</v>
      </c>
      <c r="L1504" s="410">
        <v>0</v>
      </c>
      <c r="M1504" s="410">
        <v>0</v>
      </c>
      <c r="N1504" s="177">
        <f t="shared" si="2268"/>
        <v>0</v>
      </c>
      <c r="O1504" s="19">
        <f t="shared" si="2269"/>
        <v>0</v>
      </c>
      <c r="P1504" s="96"/>
      <c r="Q1504" s="96"/>
      <c r="R1504" s="96"/>
      <c r="S1504" s="96"/>
      <c r="T1504" s="96"/>
      <c r="U1504" s="96"/>
      <c r="V1504" s="96"/>
      <c r="W1504" s="96"/>
      <c r="X1504" s="96"/>
      <c r="Y1504" s="96"/>
      <c r="Z1504" s="96"/>
    </row>
    <row r="1505" spans="1:26" s="9" customFormat="1" ht="15.75">
      <c r="A1505" s="409" t="s">
        <v>705</v>
      </c>
      <c r="B1505" s="410">
        <v>0</v>
      </c>
      <c r="C1505" s="410">
        <v>0</v>
      </c>
      <c r="D1505" s="410">
        <v>0</v>
      </c>
      <c r="E1505" s="410">
        <v>0</v>
      </c>
      <c r="F1505" s="410">
        <v>0</v>
      </c>
      <c r="G1505" s="410">
        <v>0</v>
      </c>
      <c r="H1505" s="410">
        <v>0</v>
      </c>
      <c r="I1505" s="410">
        <v>0</v>
      </c>
      <c r="J1505" s="410">
        <v>0</v>
      </c>
      <c r="K1505" s="410">
        <v>0</v>
      </c>
      <c r="L1505" s="410">
        <v>0</v>
      </c>
      <c r="M1505" s="410">
        <v>0</v>
      </c>
      <c r="N1505" s="177">
        <f t="shared" ref="N1505" si="2270">SUM(B1505:M1505)</f>
        <v>0</v>
      </c>
      <c r="O1505" s="19">
        <f t="shared" ref="O1505" si="2271">IF(N1505=0,0,AVERAGE(B1505:M1505))</f>
        <v>0</v>
      </c>
      <c r="P1505" s="96"/>
      <c r="Q1505" s="96"/>
      <c r="R1505" s="96"/>
      <c r="S1505" s="96"/>
      <c r="T1505" s="96"/>
      <c r="U1505" s="96"/>
      <c r="V1505" s="96"/>
      <c r="W1505" s="96"/>
      <c r="X1505" s="96"/>
      <c r="Y1505" s="96"/>
      <c r="Z1505" s="96"/>
    </row>
    <row r="1506" spans="1:26" s="9" customFormat="1" ht="15.75">
      <c r="A1506" s="112" t="s">
        <v>21</v>
      </c>
      <c r="B1506" s="114">
        <f t="shared" ref="B1506:G1506" si="2272">SUM(B1502:B1505)</f>
        <v>3128.76</v>
      </c>
      <c r="C1506" s="114">
        <f t="shared" si="2272"/>
        <v>3648.48</v>
      </c>
      <c r="D1506" s="114">
        <f t="shared" si="2272"/>
        <v>5378.81</v>
      </c>
      <c r="E1506" s="114">
        <f t="shared" si="2272"/>
        <v>7461.05</v>
      </c>
      <c r="F1506" s="114">
        <f t="shared" si="2272"/>
        <v>3996.6</v>
      </c>
      <c r="G1506" s="114">
        <f t="shared" si="2272"/>
        <v>2962.2</v>
      </c>
      <c r="H1506" s="114">
        <f t="shared" ref="H1506:I1506" si="2273">SUM(H1502:H1505)</f>
        <v>6508.41</v>
      </c>
      <c r="I1506" s="114">
        <f t="shared" si="2273"/>
        <v>5478</v>
      </c>
      <c r="J1506" s="114">
        <f t="shared" ref="J1506:K1506" si="2274">SUM(J1502:J1505)</f>
        <v>4622.88</v>
      </c>
      <c r="K1506" s="114">
        <f t="shared" si="2274"/>
        <v>3606.75</v>
      </c>
      <c r="L1506" s="114">
        <f t="shared" ref="L1506:M1506" si="2275">SUM(L1502:L1505)</f>
        <v>4389.45</v>
      </c>
      <c r="M1506" s="114">
        <f t="shared" si="2275"/>
        <v>4036.2</v>
      </c>
      <c r="N1506" s="128">
        <f>SUM(B1506:M1506)</f>
        <v>55217.589999999989</v>
      </c>
      <c r="O1506" s="22">
        <f>IF(N1506=0,0,AVERAGE(B1506:M1506))</f>
        <v>4601.4658333333327</v>
      </c>
      <c r="P1506" s="96"/>
      <c r="Q1506" s="96"/>
      <c r="R1506" s="96"/>
      <c r="S1506" s="96"/>
      <c r="T1506" s="96"/>
      <c r="U1506" s="96"/>
      <c r="V1506" s="96"/>
      <c r="W1506" s="96"/>
      <c r="X1506" s="96"/>
      <c r="Y1506" s="96"/>
      <c r="Z1506" s="96"/>
    </row>
    <row r="1507" spans="1:26" s="9" customFormat="1" ht="15.75">
      <c r="A1507" s="56" t="s">
        <v>112</v>
      </c>
      <c r="B1507" s="22">
        <f t="shared" ref="B1507:G1507" si="2276">IF(B1506=0,"",B1506/B$1676)</f>
        <v>100.92774193548388</v>
      </c>
      <c r="C1507" s="22">
        <f t="shared" si="2276"/>
        <v>130.30285714285714</v>
      </c>
      <c r="D1507" s="22">
        <f t="shared" si="2276"/>
        <v>173.51000000000002</v>
      </c>
      <c r="E1507" s="22">
        <f t="shared" si="2276"/>
        <v>248.70166666666668</v>
      </c>
      <c r="F1507" s="22">
        <f t="shared" si="2276"/>
        <v>128.92258064516128</v>
      </c>
      <c r="G1507" s="22">
        <f t="shared" si="2276"/>
        <v>98.74</v>
      </c>
      <c r="H1507" s="22">
        <f t="shared" ref="H1507:I1507" si="2277">IF(H1506=0,"",H1506/H$1676)</f>
        <v>209.94870967741934</v>
      </c>
      <c r="I1507" s="22">
        <f t="shared" si="2277"/>
        <v>176.70967741935485</v>
      </c>
      <c r="J1507" s="22">
        <f t="shared" ref="J1507:K1507" si="2278">IF(J1506=0,"",J1506/J$1676)</f>
        <v>154.096</v>
      </c>
      <c r="K1507" s="22">
        <f t="shared" si="2278"/>
        <v>116.34677419354838</v>
      </c>
      <c r="L1507" s="22">
        <f t="shared" ref="L1507:M1507" si="2279">IF(L1506=0,"",L1506/L$1676)</f>
        <v>146.315</v>
      </c>
      <c r="M1507" s="22">
        <f t="shared" si="2279"/>
        <v>130.19999999999999</v>
      </c>
      <c r="N1507" s="128">
        <f>SUM(B1507:M1507)</f>
        <v>1814.7210076804915</v>
      </c>
      <c r="O1507" s="22">
        <f>IF(N1507=0,0,AVERAGE(B1507:M1507))</f>
        <v>151.22675064004096</v>
      </c>
      <c r="P1507" s="96"/>
      <c r="Q1507" s="96"/>
      <c r="R1507" s="96"/>
      <c r="S1507" s="96"/>
      <c r="T1507" s="96"/>
      <c r="U1507" s="96"/>
      <c r="V1507" s="96"/>
      <c r="W1507" s="96"/>
      <c r="X1507" s="96"/>
      <c r="Y1507" s="96"/>
      <c r="Z1507" s="96"/>
    </row>
    <row r="1508" spans="1:26" s="9" customFormat="1" ht="15.75">
      <c r="A1508" s="115"/>
      <c r="B1508" s="322"/>
      <c r="C1508" s="322"/>
      <c r="D1508" s="322"/>
      <c r="E1508" s="322"/>
      <c r="F1508" s="322"/>
      <c r="G1508" s="322"/>
      <c r="H1508" s="322"/>
      <c r="I1508" s="322"/>
      <c r="J1508" s="322"/>
      <c r="K1508" s="322"/>
      <c r="L1508" s="322"/>
      <c r="M1508" s="322"/>
      <c r="N1508" s="147"/>
      <c r="O1508" s="125"/>
      <c r="P1508" s="96"/>
      <c r="Q1508" s="96"/>
      <c r="R1508" s="96"/>
      <c r="S1508" s="96"/>
      <c r="T1508" s="96"/>
      <c r="U1508" s="96"/>
      <c r="V1508" s="96"/>
      <c r="W1508" s="96"/>
      <c r="X1508" s="96"/>
      <c r="Y1508" s="96"/>
      <c r="Z1508" s="96"/>
    </row>
    <row r="1509" spans="1:26" s="9" customFormat="1" ht="15.75">
      <c r="A1509" s="14" t="s">
        <v>707</v>
      </c>
      <c r="B1509" s="27"/>
      <c r="C1509" s="27"/>
      <c r="D1509" s="27"/>
      <c r="E1509" s="27"/>
      <c r="F1509" s="27"/>
      <c r="G1509" s="27"/>
      <c r="H1509" s="27"/>
      <c r="I1509" s="27"/>
      <c r="J1509" s="27"/>
      <c r="K1509" s="27"/>
      <c r="L1509" s="27"/>
      <c r="M1509" s="27"/>
      <c r="N1509" s="135"/>
      <c r="O1509" s="28"/>
      <c r="P1509" s="96"/>
      <c r="Q1509" s="96"/>
      <c r="R1509" s="96"/>
      <c r="S1509" s="96"/>
      <c r="T1509" s="96"/>
      <c r="U1509" s="96"/>
      <c r="V1509" s="96"/>
      <c r="W1509" s="96"/>
      <c r="X1509" s="96"/>
      <c r="Y1509" s="96"/>
      <c r="Z1509" s="96"/>
    </row>
    <row r="1510" spans="1:26" s="9" customFormat="1" ht="15.75">
      <c r="A1510" s="60" t="s">
        <v>708</v>
      </c>
      <c r="B1510" s="75"/>
      <c r="C1510" s="75"/>
      <c r="D1510" s="75"/>
      <c r="E1510" s="75"/>
      <c r="F1510" s="75"/>
      <c r="G1510" s="75"/>
      <c r="H1510" s="75"/>
      <c r="I1510" s="75"/>
      <c r="J1510" s="75"/>
      <c r="K1510" s="75"/>
      <c r="L1510" s="75"/>
      <c r="M1510" s="75"/>
      <c r="N1510" s="146"/>
      <c r="O1510" s="76"/>
      <c r="P1510" s="96"/>
      <c r="Q1510" s="96"/>
      <c r="R1510" s="96"/>
      <c r="S1510" s="96"/>
      <c r="T1510" s="96"/>
      <c r="U1510" s="96"/>
      <c r="V1510" s="96"/>
      <c r="W1510" s="96"/>
      <c r="X1510" s="96"/>
      <c r="Y1510" s="96"/>
      <c r="Z1510" s="96"/>
    </row>
    <row r="1511" spans="1:26" s="9" customFormat="1" ht="15.75">
      <c r="A1511" s="34" t="s">
        <v>209</v>
      </c>
      <c r="B1511" s="18">
        <v>12</v>
      </c>
      <c r="C1511" s="18">
        <v>17</v>
      </c>
      <c r="D1511" s="18">
        <v>41</v>
      </c>
      <c r="E1511" s="18">
        <v>43</v>
      </c>
      <c r="F1511" s="18">
        <v>4</v>
      </c>
      <c r="G1511" s="18">
        <v>6</v>
      </c>
      <c r="H1511" s="18">
        <v>6</v>
      </c>
      <c r="I1511" s="18">
        <v>9</v>
      </c>
      <c r="J1511" s="18">
        <v>10</v>
      </c>
      <c r="K1511" s="18">
        <f>AVERAGE(B1511:J1511)</f>
        <v>16.444444444444443</v>
      </c>
      <c r="L1511" s="18">
        <v>8</v>
      </c>
      <c r="M1511" s="18">
        <v>12</v>
      </c>
      <c r="N1511" s="133">
        <f t="shared" ref="N1511:N1521" si="2280">SUM(B1511:M1511)</f>
        <v>184.44444444444446</v>
      </c>
      <c r="O1511" s="19">
        <f t="shared" ref="O1511:O1521" si="2281">IF(N1511=0,0,AVERAGE(B1511:M1511))</f>
        <v>15.370370370370372</v>
      </c>
      <c r="P1511" s="96"/>
      <c r="Q1511" s="96"/>
      <c r="R1511" s="96"/>
      <c r="S1511" s="96"/>
      <c r="T1511" s="96"/>
      <c r="U1511" s="96"/>
      <c r="V1511" s="96"/>
      <c r="W1511" s="96"/>
      <c r="X1511" s="96"/>
      <c r="Y1511" s="96"/>
      <c r="Z1511" s="96"/>
    </row>
    <row r="1512" spans="1:26" s="9" customFormat="1" ht="15.75">
      <c r="A1512" s="34" t="s">
        <v>210</v>
      </c>
      <c r="B1512" s="18">
        <v>11</v>
      </c>
      <c r="C1512" s="18">
        <v>4</v>
      </c>
      <c r="D1512" s="18">
        <v>0</v>
      </c>
      <c r="E1512" s="18">
        <v>0</v>
      </c>
      <c r="F1512" s="18">
        <v>0</v>
      </c>
      <c r="G1512" s="18">
        <v>0</v>
      </c>
      <c r="H1512" s="18">
        <v>0</v>
      </c>
      <c r="I1512" s="18">
        <v>2</v>
      </c>
      <c r="J1512" s="18">
        <v>0</v>
      </c>
      <c r="K1512" s="18">
        <f t="shared" ref="K1512:K1522" si="2282">AVERAGE(B1512:J1512)</f>
        <v>1.8888888888888888</v>
      </c>
      <c r="L1512" s="18">
        <v>0</v>
      </c>
      <c r="M1512" s="18">
        <v>0</v>
      </c>
      <c r="N1512" s="133">
        <f t="shared" si="2280"/>
        <v>18.888888888888889</v>
      </c>
      <c r="O1512" s="19">
        <f t="shared" si="2281"/>
        <v>1.5740740740740742</v>
      </c>
      <c r="P1512" s="96"/>
      <c r="Q1512" s="96"/>
      <c r="R1512" s="96"/>
      <c r="S1512" s="96"/>
      <c r="T1512" s="96"/>
      <c r="U1512" s="96"/>
      <c r="V1512" s="96"/>
      <c r="W1512" s="96"/>
      <c r="X1512" s="96"/>
      <c r="Y1512" s="96"/>
      <c r="Z1512" s="96"/>
    </row>
    <row r="1513" spans="1:26" s="9" customFormat="1" ht="15.75">
      <c r="A1513" s="34" t="s">
        <v>211</v>
      </c>
      <c r="B1513" s="18">
        <v>5</v>
      </c>
      <c r="C1513" s="18">
        <v>1</v>
      </c>
      <c r="D1513" s="18">
        <v>0</v>
      </c>
      <c r="E1513" s="18">
        <v>0</v>
      </c>
      <c r="F1513" s="18">
        <v>0</v>
      </c>
      <c r="G1513" s="18">
        <v>0</v>
      </c>
      <c r="H1513" s="18">
        <v>0</v>
      </c>
      <c r="I1513" s="18">
        <v>0</v>
      </c>
      <c r="J1513" s="18">
        <v>0</v>
      </c>
      <c r="K1513" s="18">
        <f t="shared" si="2282"/>
        <v>0.66666666666666663</v>
      </c>
      <c r="L1513" s="18">
        <v>0</v>
      </c>
      <c r="M1513" s="18">
        <v>0</v>
      </c>
      <c r="N1513" s="133">
        <f t="shared" si="2280"/>
        <v>6.666666666666667</v>
      </c>
      <c r="O1513" s="19">
        <f t="shared" si="2281"/>
        <v>0.55555555555555558</v>
      </c>
      <c r="P1513" s="96"/>
      <c r="Q1513" s="96"/>
      <c r="R1513" s="96"/>
      <c r="S1513" s="96"/>
      <c r="T1513" s="96"/>
      <c r="U1513" s="96"/>
      <c r="V1513" s="96"/>
      <c r="W1513" s="96"/>
      <c r="X1513" s="96"/>
      <c r="Y1513" s="96"/>
      <c r="Z1513" s="96"/>
    </row>
    <row r="1514" spans="1:26" s="9" customFormat="1" ht="15.75">
      <c r="A1514" s="34" t="s">
        <v>212</v>
      </c>
      <c r="B1514" s="18">
        <v>45</v>
      </c>
      <c r="C1514" s="18">
        <v>30</v>
      </c>
      <c r="D1514" s="18">
        <v>22</v>
      </c>
      <c r="E1514" s="18">
        <v>33</v>
      </c>
      <c r="F1514" s="18">
        <v>20</v>
      </c>
      <c r="G1514" s="18">
        <v>27</v>
      </c>
      <c r="H1514" s="18">
        <v>8</v>
      </c>
      <c r="I1514" s="18">
        <v>24</v>
      </c>
      <c r="J1514" s="18">
        <v>11</v>
      </c>
      <c r="K1514" s="18">
        <f t="shared" si="2282"/>
        <v>24.444444444444443</v>
      </c>
      <c r="L1514" s="18">
        <v>17</v>
      </c>
      <c r="M1514" s="18">
        <v>16</v>
      </c>
      <c r="N1514" s="133">
        <f t="shared" si="2280"/>
        <v>277.44444444444446</v>
      </c>
      <c r="O1514" s="19">
        <f t="shared" si="2281"/>
        <v>23.12037037037037</v>
      </c>
      <c r="P1514" s="96"/>
      <c r="Q1514" s="96"/>
      <c r="R1514" s="96"/>
      <c r="S1514" s="96"/>
      <c r="T1514" s="96"/>
      <c r="U1514" s="96"/>
      <c r="V1514" s="96"/>
      <c r="W1514" s="96"/>
      <c r="X1514" s="96"/>
      <c r="Y1514" s="96"/>
      <c r="Z1514" s="96"/>
    </row>
    <row r="1515" spans="1:26" s="9" customFormat="1" ht="15.75">
      <c r="A1515" s="34" t="s">
        <v>213</v>
      </c>
      <c r="B1515" s="18">
        <v>0</v>
      </c>
      <c r="C1515" s="18">
        <v>0</v>
      </c>
      <c r="D1515" s="18">
        <v>0</v>
      </c>
      <c r="E1515" s="18">
        <v>0</v>
      </c>
      <c r="F1515" s="18">
        <v>0</v>
      </c>
      <c r="G1515" s="18">
        <v>0</v>
      </c>
      <c r="H1515" s="18">
        <v>0</v>
      </c>
      <c r="I1515" s="18">
        <v>0</v>
      </c>
      <c r="J1515" s="18">
        <v>0</v>
      </c>
      <c r="K1515" s="18">
        <f t="shared" si="2282"/>
        <v>0</v>
      </c>
      <c r="L1515" s="18">
        <v>0</v>
      </c>
      <c r="M1515" s="18">
        <v>0</v>
      </c>
      <c r="N1515" s="133">
        <f t="shared" si="2280"/>
        <v>0</v>
      </c>
      <c r="O1515" s="19">
        <f t="shared" si="2281"/>
        <v>0</v>
      </c>
      <c r="P1515" s="96"/>
      <c r="Q1515" s="96"/>
      <c r="R1515" s="96"/>
      <c r="S1515" s="96"/>
      <c r="T1515" s="96"/>
      <c r="U1515" s="96"/>
      <c r="V1515" s="96"/>
      <c r="W1515" s="96"/>
      <c r="X1515" s="96"/>
      <c r="Y1515" s="96"/>
      <c r="Z1515" s="96"/>
    </row>
    <row r="1516" spans="1:26" s="9" customFormat="1" ht="15.75">
      <c r="A1516" s="34" t="s">
        <v>214</v>
      </c>
      <c r="B1516" s="18">
        <v>60</v>
      </c>
      <c r="C1516" s="18">
        <v>21</v>
      </c>
      <c r="D1516" s="18">
        <v>17</v>
      </c>
      <c r="E1516" s="18">
        <v>32</v>
      </c>
      <c r="F1516" s="18">
        <v>9</v>
      </c>
      <c r="G1516" s="18">
        <v>20</v>
      </c>
      <c r="H1516" s="18">
        <v>17</v>
      </c>
      <c r="I1516" s="18">
        <v>36</v>
      </c>
      <c r="J1516" s="18">
        <v>32</v>
      </c>
      <c r="K1516" s="18">
        <f t="shared" si="2282"/>
        <v>27.111111111111111</v>
      </c>
      <c r="L1516" s="18">
        <v>15</v>
      </c>
      <c r="M1516" s="18">
        <v>36</v>
      </c>
      <c r="N1516" s="133">
        <f t="shared" si="2280"/>
        <v>322.11111111111109</v>
      </c>
      <c r="O1516" s="19">
        <f t="shared" si="2281"/>
        <v>26.842592592592592</v>
      </c>
      <c r="P1516" s="96"/>
      <c r="Q1516" s="96"/>
      <c r="R1516" s="96"/>
      <c r="S1516" s="96"/>
      <c r="T1516" s="96"/>
      <c r="U1516" s="96"/>
      <c r="V1516" s="96"/>
      <c r="W1516" s="96"/>
      <c r="X1516" s="96"/>
      <c r="Y1516" s="96"/>
      <c r="Z1516" s="96"/>
    </row>
    <row r="1517" spans="1:26" s="9" customFormat="1" ht="15.75">
      <c r="A1517" s="34" t="s">
        <v>217</v>
      </c>
      <c r="B1517" s="18">
        <v>0</v>
      </c>
      <c r="C1517" s="18">
        <v>0</v>
      </c>
      <c r="D1517" s="18">
        <v>0</v>
      </c>
      <c r="E1517" s="18">
        <v>0</v>
      </c>
      <c r="F1517" s="18">
        <v>0</v>
      </c>
      <c r="G1517" s="18">
        <v>0</v>
      </c>
      <c r="H1517" s="18">
        <v>0</v>
      </c>
      <c r="I1517" s="18">
        <v>0</v>
      </c>
      <c r="J1517" s="18">
        <v>0</v>
      </c>
      <c r="K1517" s="18">
        <f t="shared" si="2282"/>
        <v>0</v>
      </c>
      <c r="L1517" s="18">
        <v>0</v>
      </c>
      <c r="M1517" s="18">
        <v>0</v>
      </c>
      <c r="N1517" s="133">
        <f t="shared" si="2280"/>
        <v>0</v>
      </c>
      <c r="O1517" s="19">
        <f t="shared" si="2281"/>
        <v>0</v>
      </c>
      <c r="P1517" s="96"/>
      <c r="Q1517" s="96"/>
      <c r="R1517" s="96"/>
      <c r="S1517" s="96"/>
      <c r="T1517" s="96"/>
      <c r="U1517" s="96"/>
      <c r="V1517" s="96"/>
      <c r="W1517" s="96"/>
      <c r="X1517" s="96"/>
      <c r="Y1517" s="96"/>
      <c r="Z1517" s="96"/>
    </row>
    <row r="1518" spans="1:26" s="9" customFormat="1" ht="15.75">
      <c r="A1518" s="34" t="s">
        <v>215</v>
      </c>
      <c r="B1518" s="18">
        <v>14</v>
      </c>
      <c r="C1518" s="18">
        <v>1</v>
      </c>
      <c r="D1518" s="18">
        <v>5</v>
      </c>
      <c r="E1518" s="18">
        <v>7</v>
      </c>
      <c r="F1518" s="18">
        <v>0</v>
      </c>
      <c r="G1518" s="18">
        <v>7</v>
      </c>
      <c r="H1518" s="18">
        <v>1</v>
      </c>
      <c r="I1518" s="18">
        <v>1</v>
      </c>
      <c r="J1518" s="18">
        <v>2</v>
      </c>
      <c r="K1518" s="18">
        <f t="shared" si="2282"/>
        <v>4.2222222222222223</v>
      </c>
      <c r="L1518" s="18">
        <v>2</v>
      </c>
      <c r="M1518" s="18">
        <v>5</v>
      </c>
      <c r="N1518" s="133">
        <f t="shared" si="2280"/>
        <v>49.222222222222221</v>
      </c>
      <c r="O1518" s="19">
        <f t="shared" si="2281"/>
        <v>4.1018518518518521</v>
      </c>
      <c r="P1518" s="96"/>
      <c r="Q1518" s="96"/>
      <c r="R1518" s="96"/>
      <c r="S1518" s="96"/>
      <c r="T1518" s="96"/>
      <c r="U1518" s="96"/>
      <c r="V1518" s="96"/>
      <c r="W1518" s="96"/>
      <c r="X1518" s="96"/>
      <c r="Y1518" s="96"/>
      <c r="Z1518" s="96"/>
    </row>
    <row r="1519" spans="1:26" s="9" customFormat="1" ht="15.75">
      <c r="A1519" s="34" t="s">
        <v>216</v>
      </c>
      <c r="B1519" s="18">
        <v>0</v>
      </c>
      <c r="C1519" s="18">
        <v>0</v>
      </c>
      <c r="D1519" s="18">
        <v>0</v>
      </c>
      <c r="E1519" s="18">
        <v>0</v>
      </c>
      <c r="F1519" s="18">
        <v>0</v>
      </c>
      <c r="G1519" s="18">
        <v>0</v>
      </c>
      <c r="H1519" s="18">
        <v>0</v>
      </c>
      <c r="I1519" s="18">
        <v>0</v>
      </c>
      <c r="J1519" s="18">
        <v>0</v>
      </c>
      <c r="K1519" s="18">
        <f t="shared" si="2282"/>
        <v>0</v>
      </c>
      <c r="L1519" s="18">
        <v>0</v>
      </c>
      <c r="M1519" s="18">
        <v>0</v>
      </c>
      <c r="N1519" s="133">
        <f t="shared" si="2280"/>
        <v>0</v>
      </c>
      <c r="O1519" s="19">
        <f t="shared" si="2281"/>
        <v>0</v>
      </c>
      <c r="P1519" s="96"/>
      <c r="Q1519" s="96"/>
      <c r="R1519" s="96"/>
      <c r="S1519" s="96"/>
      <c r="T1519" s="96"/>
      <c r="U1519" s="96"/>
      <c r="V1519" s="96"/>
      <c r="W1519" s="96"/>
      <c r="X1519" s="96"/>
      <c r="Y1519" s="96"/>
      <c r="Z1519" s="96"/>
    </row>
    <row r="1520" spans="1:26" s="9" customFormat="1" ht="15.75">
      <c r="A1520" s="34" t="s">
        <v>218</v>
      </c>
      <c r="B1520" s="18">
        <v>61</v>
      </c>
      <c r="C1520" s="18">
        <v>80</v>
      </c>
      <c r="D1520" s="18">
        <v>80</v>
      </c>
      <c r="E1520" s="18">
        <v>34</v>
      </c>
      <c r="F1520" s="18">
        <v>57</v>
      </c>
      <c r="G1520" s="18">
        <v>43</v>
      </c>
      <c r="H1520" s="18">
        <v>8</v>
      </c>
      <c r="I1520" s="18">
        <v>23</v>
      </c>
      <c r="J1520" s="18">
        <v>24</v>
      </c>
      <c r="K1520" s="18">
        <f t="shared" si="2282"/>
        <v>45.555555555555557</v>
      </c>
      <c r="L1520" s="18">
        <v>19</v>
      </c>
      <c r="M1520" s="18">
        <v>19</v>
      </c>
      <c r="N1520" s="133">
        <f t="shared" si="2280"/>
        <v>493.55555555555554</v>
      </c>
      <c r="O1520" s="19">
        <f t="shared" si="2281"/>
        <v>41.129629629629626</v>
      </c>
      <c r="P1520" s="96"/>
      <c r="Q1520" s="96"/>
      <c r="R1520" s="96"/>
      <c r="S1520" s="96"/>
      <c r="T1520" s="96"/>
      <c r="U1520" s="96"/>
      <c r="V1520" s="96"/>
      <c r="W1520" s="96"/>
      <c r="X1520" s="96"/>
      <c r="Y1520" s="96"/>
      <c r="Z1520" s="96"/>
    </row>
    <row r="1521" spans="1:26" s="9" customFormat="1" ht="15.75">
      <c r="A1521" s="34" t="s">
        <v>219</v>
      </c>
      <c r="B1521" s="18">
        <v>136</v>
      </c>
      <c r="C1521" s="18">
        <v>117</v>
      </c>
      <c r="D1521" s="18">
        <v>189</v>
      </c>
      <c r="E1521" s="18">
        <v>133</v>
      </c>
      <c r="F1521" s="18">
        <v>93</v>
      </c>
      <c r="G1521" s="18">
        <v>100</v>
      </c>
      <c r="H1521" s="18">
        <v>97</v>
      </c>
      <c r="I1521" s="18">
        <v>111</v>
      </c>
      <c r="J1521" s="18">
        <v>133</v>
      </c>
      <c r="K1521" s="18">
        <f t="shared" si="2282"/>
        <v>123.22222222222223</v>
      </c>
      <c r="L1521" s="18">
        <v>85</v>
      </c>
      <c r="M1521" s="18">
        <v>66</v>
      </c>
      <c r="N1521" s="133">
        <f t="shared" si="2280"/>
        <v>1383.2222222222222</v>
      </c>
      <c r="O1521" s="19">
        <f t="shared" si="2281"/>
        <v>115.26851851851852</v>
      </c>
      <c r="P1521" s="96"/>
      <c r="Q1521" s="96"/>
      <c r="R1521" s="96"/>
      <c r="S1521" s="96"/>
      <c r="T1521" s="96"/>
      <c r="U1521" s="96"/>
      <c r="V1521" s="96"/>
      <c r="W1521" s="96"/>
      <c r="X1521" s="96"/>
      <c r="Y1521" s="96"/>
      <c r="Z1521" s="96"/>
    </row>
    <row r="1522" spans="1:26" s="9" customFormat="1" ht="15.75">
      <c r="A1522" s="34" t="s">
        <v>22</v>
      </c>
      <c r="B1522" s="18">
        <v>54</v>
      </c>
      <c r="C1522" s="18">
        <v>55</v>
      </c>
      <c r="D1522" s="18">
        <v>100</v>
      </c>
      <c r="E1522" s="18">
        <v>60</v>
      </c>
      <c r="F1522" s="18">
        <v>30</v>
      </c>
      <c r="G1522" s="18">
        <v>57</v>
      </c>
      <c r="H1522" s="18">
        <f>73</f>
        <v>73</v>
      </c>
      <c r="I1522" s="18">
        <v>34</v>
      </c>
      <c r="J1522" s="18">
        <v>82</v>
      </c>
      <c r="K1522" s="18">
        <f t="shared" si="2282"/>
        <v>60.555555555555557</v>
      </c>
      <c r="L1522" s="18">
        <v>48</v>
      </c>
      <c r="M1522" s="18">
        <f>57+1</f>
        <v>58</v>
      </c>
      <c r="N1522" s="133">
        <f>SUM(B1522:M1522)</f>
        <v>711.55555555555554</v>
      </c>
      <c r="O1522" s="19">
        <f>IF(N1522=0,0,AVERAGE(B1522:M1522))</f>
        <v>59.296296296296298</v>
      </c>
      <c r="P1522" s="96"/>
      <c r="Q1522" s="96"/>
      <c r="R1522" s="96"/>
      <c r="S1522" s="96"/>
      <c r="T1522" s="96"/>
      <c r="U1522" s="96"/>
      <c r="V1522" s="96"/>
      <c r="W1522" s="96"/>
      <c r="X1522" s="96"/>
      <c r="Y1522" s="96"/>
      <c r="Z1522" s="96"/>
    </row>
    <row r="1523" spans="1:26" s="9" customFormat="1" ht="15.75">
      <c r="A1523" s="56" t="s">
        <v>21</v>
      </c>
      <c r="B1523" s="21">
        <f t="shared" ref="B1523:C1523" si="2283">SUM(B1511:B1522)</f>
        <v>398</v>
      </c>
      <c r="C1523" s="21">
        <f t="shared" si="2283"/>
        <v>326</v>
      </c>
      <c r="D1523" s="21">
        <f t="shared" ref="D1523:E1523" si="2284">SUM(D1511:D1522)</f>
        <v>454</v>
      </c>
      <c r="E1523" s="21">
        <f t="shared" si="2284"/>
        <v>342</v>
      </c>
      <c r="F1523" s="21">
        <f t="shared" ref="F1523:G1523" si="2285">SUM(F1511:F1522)</f>
        <v>213</v>
      </c>
      <c r="G1523" s="21">
        <f t="shared" si="2285"/>
        <v>260</v>
      </c>
      <c r="H1523" s="21">
        <f t="shared" ref="H1523:I1523" si="2286">SUM(H1511:H1522)</f>
        <v>210</v>
      </c>
      <c r="I1523" s="21">
        <f t="shared" si="2286"/>
        <v>240</v>
      </c>
      <c r="J1523" s="21">
        <f t="shared" ref="J1523:K1523" si="2287">SUM(J1511:J1522)</f>
        <v>294</v>
      </c>
      <c r="K1523" s="21">
        <f t="shared" si="2287"/>
        <v>304.11111111111114</v>
      </c>
      <c r="L1523" s="21">
        <f t="shared" ref="L1523:M1523" si="2288">SUM(L1511:L1522)</f>
        <v>194</v>
      </c>
      <c r="M1523" s="21">
        <f t="shared" si="2288"/>
        <v>212</v>
      </c>
      <c r="N1523" s="128">
        <f>SUM(N1511:N1522)</f>
        <v>3447.1111111111113</v>
      </c>
      <c r="O1523" s="22">
        <f>SUM(O1511:O1522)</f>
        <v>287.25925925925924</v>
      </c>
      <c r="P1523" s="96"/>
      <c r="Q1523" s="96"/>
      <c r="R1523" s="96"/>
      <c r="S1523" s="96"/>
      <c r="T1523" s="96"/>
      <c r="U1523" s="96"/>
      <c r="V1523" s="96"/>
      <c r="W1523" s="96"/>
      <c r="X1523" s="96"/>
      <c r="Y1523" s="96"/>
      <c r="Z1523" s="96"/>
    </row>
    <row r="1524" spans="1:26" s="9" customFormat="1" ht="15.75">
      <c r="A1524" s="56" t="s">
        <v>112</v>
      </c>
      <c r="B1524" s="22">
        <f t="shared" ref="B1524:C1524" si="2289">IF(B1523=0,"",B1523/B$1676)</f>
        <v>12.838709677419354</v>
      </c>
      <c r="C1524" s="22">
        <f t="shared" si="2289"/>
        <v>11.642857142857142</v>
      </c>
      <c r="D1524" s="22">
        <f t="shared" ref="D1524:E1524" si="2290">IF(D1523=0,"",D1523/D$1676)</f>
        <v>14.64516129032258</v>
      </c>
      <c r="E1524" s="22">
        <f t="shared" si="2290"/>
        <v>11.4</v>
      </c>
      <c r="F1524" s="22">
        <f t="shared" ref="F1524:G1524" si="2291">IF(F1523=0,"",F1523/F$1676)</f>
        <v>6.870967741935484</v>
      </c>
      <c r="G1524" s="22">
        <f t="shared" si="2291"/>
        <v>8.6666666666666661</v>
      </c>
      <c r="H1524" s="22">
        <f t="shared" ref="H1524:I1524" si="2292">IF(H1523=0,"",H1523/H$1676)</f>
        <v>6.774193548387097</v>
      </c>
      <c r="I1524" s="22">
        <f t="shared" si="2292"/>
        <v>7.741935483870968</v>
      </c>
      <c r="J1524" s="22">
        <f t="shared" ref="J1524:K1524" si="2293">IF(J1523=0,"",J1523/J$1676)</f>
        <v>9.8000000000000007</v>
      </c>
      <c r="K1524" s="22">
        <f t="shared" si="2293"/>
        <v>9.8100358422939085</v>
      </c>
      <c r="L1524" s="22">
        <f t="shared" ref="L1524:M1524" si="2294">IF(L1523=0,"",L1523/L$1676)</f>
        <v>6.4666666666666668</v>
      </c>
      <c r="M1524" s="22">
        <f t="shared" si="2294"/>
        <v>6.838709677419355</v>
      </c>
      <c r="N1524" s="128">
        <f>SUM(B1524:M1524)</f>
        <v>113.49590373783923</v>
      </c>
      <c r="O1524" s="22">
        <f>IF(N1524=0,0,AVERAGE(B1524:M1524))</f>
        <v>9.4579919781532684</v>
      </c>
      <c r="P1524" s="96"/>
      <c r="Q1524" s="96"/>
      <c r="R1524" s="96"/>
      <c r="S1524" s="96"/>
      <c r="T1524" s="96"/>
      <c r="U1524" s="96"/>
      <c r="V1524" s="96"/>
      <c r="W1524" s="96"/>
      <c r="X1524" s="96"/>
      <c r="Y1524" s="96"/>
      <c r="Z1524" s="96"/>
    </row>
    <row r="1525" spans="1:26" s="9" customFormat="1">
      <c r="A1525" s="23"/>
      <c r="B1525" s="24"/>
      <c r="C1525" s="24"/>
      <c r="D1525" s="24"/>
      <c r="E1525" s="25"/>
      <c r="F1525" s="25"/>
      <c r="G1525" s="25"/>
      <c r="H1525" s="25"/>
      <c r="I1525" s="25"/>
      <c r="J1525" s="25"/>
      <c r="K1525" s="25"/>
      <c r="L1525" s="25"/>
      <c r="M1525" s="25"/>
      <c r="N1525" s="134"/>
      <c r="O1525" s="13"/>
      <c r="P1525" s="96"/>
      <c r="Q1525" s="96"/>
      <c r="R1525" s="96"/>
      <c r="S1525" s="96"/>
      <c r="T1525" s="96"/>
      <c r="U1525" s="96"/>
      <c r="V1525" s="96"/>
      <c r="W1525" s="96"/>
      <c r="X1525" s="96"/>
      <c r="Y1525" s="96"/>
      <c r="Z1525" s="96"/>
    </row>
    <row r="1526" spans="1:26" s="9" customFormat="1" ht="15.75">
      <c r="A1526" s="60" t="s">
        <v>709</v>
      </c>
      <c r="B1526" s="75"/>
      <c r="C1526" s="75"/>
      <c r="D1526" s="75"/>
      <c r="E1526" s="75"/>
      <c r="F1526" s="75"/>
      <c r="G1526" s="75"/>
      <c r="H1526" s="75"/>
      <c r="I1526" s="75"/>
      <c r="J1526" s="75"/>
      <c r="K1526" s="75"/>
      <c r="L1526" s="75"/>
      <c r="M1526" s="75"/>
      <c r="N1526" s="146"/>
      <c r="O1526" s="76"/>
      <c r="P1526" s="96"/>
      <c r="Q1526" s="96"/>
      <c r="R1526" s="96"/>
      <c r="S1526" s="96"/>
      <c r="T1526" s="96"/>
      <c r="U1526" s="96"/>
      <c r="V1526" s="96"/>
      <c r="W1526" s="96"/>
      <c r="X1526" s="96"/>
      <c r="Y1526" s="96"/>
      <c r="Z1526" s="96"/>
    </row>
    <row r="1527" spans="1:26" s="9" customFormat="1" ht="15.75">
      <c r="A1527" s="37" t="s">
        <v>221</v>
      </c>
      <c r="B1527" s="18">
        <v>0</v>
      </c>
      <c r="C1527" s="18">
        <v>0</v>
      </c>
      <c r="D1527" s="18">
        <v>0</v>
      </c>
      <c r="E1527" s="18">
        <v>0</v>
      </c>
      <c r="F1527" s="18">
        <v>0</v>
      </c>
      <c r="G1527" s="18">
        <v>0</v>
      </c>
      <c r="H1527" s="18">
        <v>0</v>
      </c>
      <c r="I1527" s="18">
        <v>0</v>
      </c>
      <c r="J1527" s="18">
        <v>0</v>
      </c>
      <c r="K1527" s="18">
        <f>AVERAGE(B1527:J1527)</f>
        <v>0</v>
      </c>
      <c r="L1527" s="18">
        <v>0</v>
      </c>
      <c r="M1527" s="18">
        <v>0</v>
      </c>
      <c r="N1527" s="133">
        <f>SUM(B1527:M1527)</f>
        <v>0</v>
      </c>
      <c r="O1527" s="19">
        <f>IF(N1527=0,0,AVERAGE(B1527:M1527))</f>
        <v>0</v>
      </c>
      <c r="P1527" s="96"/>
      <c r="Q1527" s="96"/>
      <c r="R1527" s="96"/>
      <c r="S1527" s="96"/>
      <c r="T1527" s="96"/>
      <c r="U1527" s="96"/>
      <c r="V1527" s="96"/>
      <c r="W1527" s="96"/>
      <c r="X1527" s="96"/>
      <c r="Y1527" s="96"/>
      <c r="Z1527" s="96"/>
    </row>
    <row r="1528" spans="1:26" s="9" customFormat="1" ht="15.75">
      <c r="A1528" s="34" t="s">
        <v>222</v>
      </c>
      <c r="B1528" s="18">
        <v>2</v>
      </c>
      <c r="C1528" s="18">
        <v>0</v>
      </c>
      <c r="D1528" s="18">
        <v>2</v>
      </c>
      <c r="E1528" s="18">
        <v>0</v>
      </c>
      <c r="F1528" s="18">
        <v>0</v>
      </c>
      <c r="G1528" s="18">
        <v>0</v>
      </c>
      <c r="H1528" s="18">
        <v>0</v>
      </c>
      <c r="I1528" s="18">
        <v>2</v>
      </c>
      <c r="J1528" s="18">
        <v>0</v>
      </c>
      <c r="K1528" s="18">
        <f t="shared" ref="K1528:K1578" si="2295">AVERAGE(B1528:J1528)</f>
        <v>0.66666666666666663</v>
      </c>
      <c r="L1528" s="18">
        <v>2</v>
      </c>
      <c r="M1528" s="18">
        <v>2</v>
      </c>
      <c r="N1528" s="133">
        <f t="shared" ref="N1528:N1578" si="2296">SUM(B1528:M1528)</f>
        <v>10.666666666666668</v>
      </c>
      <c r="O1528" s="19">
        <f t="shared" ref="O1528:O1578" si="2297">IF(N1528=0,0,AVERAGE(B1528:M1528))</f>
        <v>0.88888888888888895</v>
      </c>
      <c r="P1528" s="96"/>
      <c r="Q1528" s="96"/>
      <c r="R1528" s="96"/>
      <c r="S1528" s="96"/>
      <c r="T1528" s="96"/>
      <c r="U1528" s="96"/>
      <c r="V1528" s="96"/>
      <c r="W1528" s="96"/>
      <c r="X1528" s="96"/>
      <c r="Y1528" s="96"/>
      <c r="Z1528" s="96"/>
    </row>
    <row r="1529" spans="1:26" s="9" customFormat="1" ht="15.75">
      <c r="A1529" s="34" t="s">
        <v>223</v>
      </c>
      <c r="B1529" s="18">
        <v>1</v>
      </c>
      <c r="C1529" s="18">
        <v>0</v>
      </c>
      <c r="D1529" s="18">
        <v>9</v>
      </c>
      <c r="E1529" s="18">
        <v>1</v>
      </c>
      <c r="F1529" s="18">
        <v>0</v>
      </c>
      <c r="G1529" s="18">
        <v>3</v>
      </c>
      <c r="H1529" s="18">
        <v>3</v>
      </c>
      <c r="I1529" s="18">
        <v>4</v>
      </c>
      <c r="J1529" s="18">
        <v>3</v>
      </c>
      <c r="K1529" s="18">
        <f t="shared" si="2295"/>
        <v>2.6666666666666665</v>
      </c>
      <c r="L1529" s="18">
        <v>3</v>
      </c>
      <c r="M1529" s="18">
        <v>6</v>
      </c>
      <c r="N1529" s="133">
        <f t="shared" si="2296"/>
        <v>35.666666666666671</v>
      </c>
      <c r="O1529" s="19">
        <f t="shared" si="2297"/>
        <v>2.9722222222222228</v>
      </c>
      <c r="P1529" s="96"/>
      <c r="Q1529" s="96"/>
      <c r="R1529" s="96"/>
      <c r="S1529" s="96"/>
      <c r="T1529" s="96"/>
      <c r="U1529" s="96"/>
      <c r="V1529" s="96"/>
      <c r="W1529" s="96"/>
      <c r="X1529" s="96"/>
      <c r="Y1529" s="96"/>
      <c r="Z1529" s="96"/>
    </row>
    <row r="1530" spans="1:26" s="9" customFormat="1" ht="15.75">
      <c r="A1530" s="34" t="s">
        <v>114</v>
      </c>
      <c r="B1530" s="18">
        <v>15</v>
      </c>
      <c r="C1530" s="18">
        <f>5+1</f>
        <v>6</v>
      </c>
      <c r="D1530" s="18">
        <v>34</v>
      </c>
      <c r="E1530" s="18">
        <v>20</v>
      </c>
      <c r="F1530" s="18">
        <v>12</v>
      </c>
      <c r="G1530" s="18">
        <v>16</v>
      </c>
      <c r="H1530" s="18">
        <v>16</v>
      </c>
      <c r="I1530" s="18">
        <v>7</v>
      </c>
      <c r="J1530" s="18">
        <v>16</v>
      </c>
      <c r="K1530" s="18">
        <f t="shared" si="2295"/>
        <v>15.777777777777779</v>
      </c>
      <c r="L1530" s="18">
        <v>14</v>
      </c>
      <c r="M1530" s="18">
        <v>26</v>
      </c>
      <c r="N1530" s="133">
        <f t="shared" si="2296"/>
        <v>197.77777777777777</v>
      </c>
      <c r="O1530" s="19">
        <f t="shared" si="2297"/>
        <v>16.481481481481481</v>
      </c>
      <c r="P1530" s="96"/>
      <c r="Q1530" s="96"/>
      <c r="R1530" s="96"/>
      <c r="S1530" s="96"/>
      <c r="T1530" s="96"/>
      <c r="U1530" s="96"/>
      <c r="V1530" s="96"/>
      <c r="W1530" s="96"/>
      <c r="X1530" s="96"/>
      <c r="Y1530" s="96"/>
      <c r="Z1530" s="96"/>
    </row>
    <row r="1531" spans="1:26" s="9" customFormat="1" ht="15.75">
      <c r="A1531" s="34" t="s">
        <v>314</v>
      </c>
      <c r="B1531" s="18">
        <v>74</v>
      </c>
      <c r="C1531" s="18">
        <v>53</v>
      </c>
      <c r="D1531" s="18">
        <v>61</v>
      </c>
      <c r="E1531" s="18">
        <v>78</v>
      </c>
      <c r="F1531" s="18">
        <v>63</v>
      </c>
      <c r="G1531" s="18">
        <v>50</v>
      </c>
      <c r="H1531" s="18">
        <v>50</v>
      </c>
      <c r="I1531" s="18">
        <v>55</v>
      </c>
      <c r="J1531" s="18">
        <v>50</v>
      </c>
      <c r="K1531" s="18">
        <f t="shared" si="2295"/>
        <v>59.333333333333336</v>
      </c>
      <c r="L1531" s="18">
        <v>29</v>
      </c>
      <c r="M1531" s="18">
        <v>20</v>
      </c>
      <c r="N1531" s="133">
        <f t="shared" si="2296"/>
        <v>642.33333333333337</v>
      </c>
      <c r="O1531" s="19">
        <f t="shared" si="2297"/>
        <v>53.527777777777779</v>
      </c>
      <c r="P1531" s="96"/>
      <c r="Q1531" s="96"/>
      <c r="R1531" s="96"/>
      <c r="S1531" s="96"/>
      <c r="T1531" s="96"/>
      <c r="U1531" s="96"/>
      <c r="V1531" s="96"/>
      <c r="W1531" s="96"/>
      <c r="X1531" s="96"/>
      <c r="Y1531" s="96"/>
      <c r="Z1531" s="96"/>
    </row>
    <row r="1532" spans="1:26" s="9" customFormat="1" ht="15.75">
      <c r="A1532" s="34" t="s">
        <v>809</v>
      </c>
      <c r="B1532" s="18">
        <v>4</v>
      </c>
      <c r="C1532" s="18">
        <v>0</v>
      </c>
      <c r="D1532" s="18">
        <v>1</v>
      </c>
      <c r="E1532" s="18">
        <v>0</v>
      </c>
      <c r="F1532" s="18">
        <v>0</v>
      </c>
      <c r="G1532" s="18">
        <v>0</v>
      </c>
      <c r="H1532" s="18">
        <v>0</v>
      </c>
      <c r="I1532" s="18">
        <v>1</v>
      </c>
      <c r="J1532" s="18">
        <v>0</v>
      </c>
      <c r="K1532" s="18">
        <f t="shared" si="2295"/>
        <v>0.66666666666666663</v>
      </c>
      <c r="L1532" s="18">
        <v>0</v>
      </c>
      <c r="M1532" s="18">
        <v>1</v>
      </c>
      <c r="N1532" s="133">
        <f t="shared" ref="N1532" si="2298">SUM(B1532:M1532)</f>
        <v>7.666666666666667</v>
      </c>
      <c r="O1532" s="19">
        <f t="shared" ref="O1532" si="2299">IF(N1532=0,0,AVERAGE(B1532:M1532))</f>
        <v>0.63888888888888895</v>
      </c>
      <c r="P1532" s="96"/>
      <c r="Q1532" s="96"/>
      <c r="R1532" s="96"/>
      <c r="S1532" s="96"/>
      <c r="T1532" s="96"/>
      <c r="U1532" s="96"/>
      <c r="V1532" s="96"/>
      <c r="W1532" s="96"/>
      <c r="X1532" s="96"/>
      <c r="Y1532" s="96"/>
      <c r="Z1532" s="96"/>
    </row>
    <row r="1533" spans="1:26" s="9" customFormat="1" ht="15.75">
      <c r="A1533" s="34" t="s">
        <v>572</v>
      </c>
      <c r="B1533" s="18">
        <v>0</v>
      </c>
      <c r="C1533" s="18">
        <v>0</v>
      </c>
      <c r="D1533" s="18">
        <v>0</v>
      </c>
      <c r="E1533" s="18">
        <v>0</v>
      </c>
      <c r="F1533" s="18">
        <v>0</v>
      </c>
      <c r="G1533" s="18">
        <v>0</v>
      </c>
      <c r="H1533" s="18">
        <v>0</v>
      </c>
      <c r="I1533" s="18">
        <v>0</v>
      </c>
      <c r="J1533" s="18">
        <v>0</v>
      </c>
      <c r="K1533" s="18">
        <f t="shared" si="2295"/>
        <v>0</v>
      </c>
      <c r="L1533" s="18">
        <v>0</v>
      </c>
      <c r="M1533" s="18">
        <v>0</v>
      </c>
      <c r="N1533" s="133">
        <f t="shared" si="2296"/>
        <v>0</v>
      </c>
      <c r="O1533" s="19">
        <f t="shared" si="2297"/>
        <v>0</v>
      </c>
      <c r="P1533" s="96"/>
      <c r="Q1533" s="96"/>
      <c r="R1533" s="96"/>
      <c r="S1533" s="96"/>
      <c r="T1533" s="96"/>
      <c r="U1533" s="96"/>
      <c r="V1533" s="96"/>
      <c r="W1533" s="96"/>
      <c r="X1533" s="96"/>
      <c r="Y1533" s="96"/>
      <c r="Z1533" s="96"/>
    </row>
    <row r="1534" spans="1:26" s="9" customFormat="1" ht="15.75">
      <c r="A1534" s="34" t="s">
        <v>122</v>
      </c>
      <c r="B1534" s="18">
        <v>0</v>
      </c>
      <c r="C1534" s="18">
        <v>0</v>
      </c>
      <c r="D1534" s="18">
        <v>0</v>
      </c>
      <c r="E1534" s="18">
        <v>0</v>
      </c>
      <c r="F1534" s="18">
        <v>0</v>
      </c>
      <c r="G1534" s="18">
        <v>0</v>
      </c>
      <c r="H1534" s="18">
        <v>0</v>
      </c>
      <c r="I1534" s="18">
        <v>0</v>
      </c>
      <c r="J1534" s="18">
        <v>0</v>
      </c>
      <c r="K1534" s="18">
        <f t="shared" si="2295"/>
        <v>0</v>
      </c>
      <c r="L1534" s="18">
        <v>0</v>
      </c>
      <c r="M1534" s="18">
        <v>0</v>
      </c>
      <c r="N1534" s="133">
        <f t="shared" si="2296"/>
        <v>0</v>
      </c>
      <c r="O1534" s="19">
        <f t="shared" si="2297"/>
        <v>0</v>
      </c>
      <c r="P1534" s="96"/>
      <c r="Q1534" s="96"/>
      <c r="R1534" s="96"/>
      <c r="S1534" s="96"/>
      <c r="T1534" s="96"/>
      <c r="U1534" s="96"/>
      <c r="V1534" s="96"/>
      <c r="W1534" s="96"/>
      <c r="X1534" s="96"/>
      <c r="Y1534" s="96"/>
      <c r="Z1534" s="96"/>
    </row>
    <row r="1535" spans="1:26" s="9" customFormat="1" ht="15.75">
      <c r="A1535" s="34" t="s">
        <v>810</v>
      </c>
      <c r="B1535" s="18">
        <v>5</v>
      </c>
      <c r="C1535" s="18">
        <v>0</v>
      </c>
      <c r="D1535" s="18">
        <v>0</v>
      </c>
      <c r="E1535" s="18">
        <v>1</v>
      </c>
      <c r="F1535" s="18">
        <v>1</v>
      </c>
      <c r="G1535" s="18">
        <v>1</v>
      </c>
      <c r="H1535" s="18">
        <v>1</v>
      </c>
      <c r="I1535" s="18">
        <v>0</v>
      </c>
      <c r="J1535" s="18">
        <v>1</v>
      </c>
      <c r="K1535" s="18">
        <f t="shared" si="2295"/>
        <v>1.1111111111111112</v>
      </c>
      <c r="L1535" s="18">
        <v>1</v>
      </c>
      <c r="M1535" s="18">
        <v>0</v>
      </c>
      <c r="N1535" s="133">
        <f t="shared" si="2296"/>
        <v>12.111111111111111</v>
      </c>
      <c r="O1535" s="19">
        <f t="shared" si="2297"/>
        <v>1.0092592592592593</v>
      </c>
      <c r="P1535" s="96"/>
      <c r="Q1535" s="96"/>
      <c r="R1535" s="96"/>
      <c r="S1535" s="96"/>
      <c r="T1535" s="96"/>
      <c r="U1535" s="96"/>
      <c r="V1535" s="96"/>
      <c r="W1535" s="96"/>
      <c r="X1535" s="96"/>
      <c r="Y1535" s="96"/>
      <c r="Z1535" s="96"/>
    </row>
    <row r="1536" spans="1:26" s="9" customFormat="1" ht="15.75">
      <c r="A1536" s="34" t="s">
        <v>224</v>
      </c>
      <c r="B1536" s="18">
        <v>0</v>
      </c>
      <c r="C1536" s="18">
        <v>0</v>
      </c>
      <c r="D1536" s="18">
        <v>1</v>
      </c>
      <c r="E1536" s="18">
        <v>0</v>
      </c>
      <c r="F1536" s="18">
        <v>0</v>
      </c>
      <c r="G1536" s="18">
        <v>0</v>
      </c>
      <c r="H1536" s="18">
        <v>0</v>
      </c>
      <c r="I1536" s="18">
        <v>0</v>
      </c>
      <c r="J1536" s="18">
        <v>0</v>
      </c>
      <c r="K1536" s="18">
        <f t="shared" si="2295"/>
        <v>0.1111111111111111</v>
      </c>
      <c r="L1536" s="18">
        <v>3</v>
      </c>
      <c r="M1536" s="18">
        <v>1</v>
      </c>
      <c r="N1536" s="133">
        <f t="shared" si="2296"/>
        <v>5.1111111111111107</v>
      </c>
      <c r="O1536" s="19">
        <f t="shared" si="2297"/>
        <v>0.42592592592592587</v>
      </c>
      <c r="P1536" s="96"/>
      <c r="Q1536" s="96"/>
      <c r="R1536" s="96"/>
      <c r="S1536" s="96"/>
      <c r="T1536" s="96"/>
      <c r="U1536" s="96"/>
      <c r="V1536" s="96"/>
      <c r="W1536" s="96"/>
      <c r="X1536" s="96"/>
      <c r="Y1536" s="96"/>
      <c r="Z1536" s="96"/>
    </row>
    <row r="1537" spans="1:26" s="9" customFormat="1" ht="15.75">
      <c r="A1537" s="34" t="s">
        <v>119</v>
      </c>
      <c r="B1537" s="18">
        <v>9</v>
      </c>
      <c r="C1537" s="18">
        <v>19</v>
      </c>
      <c r="D1537" s="18">
        <v>16</v>
      </c>
      <c r="E1537" s="18">
        <v>14</v>
      </c>
      <c r="F1537" s="18">
        <v>11</v>
      </c>
      <c r="G1537" s="18">
        <v>9</v>
      </c>
      <c r="H1537" s="18">
        <v>9</v>
      </c>
      <c r="I1537" s="18">
        <v>19</v>
      </c>
      <c r="J1537" s="18">
        <v>9</v>
      </c>
      <c r="K1537" s="18">
        <f t="shared" si="2295"/>
        <v>12.777777777777779</v>
      </c>
      <c r="L1537" s="18">
        <v>10</v>
      </c>
      <c r="M1537" s="18">
        <v>10</v>
      </c>
      <c r="N1537" s="133">
        <f t="shared" si="2296"/>
        <v>147.77777777777777</v>
      </c>
      <c r="O1537" s="19">
        <f t="shared" si="2297"/>
        <v>12.314814814814815</v>
      </c>
      <c r="P1537" s="96"/>
      <c r="Q1537" s="96"/>
      <c r="R1537" s="96"/>
      <c r="S1537" s="96"/>
      <c r="T1537" s="96"/>
      <c r="U1537" s="96"/>
      <c r="V1537" s="96"/>
      <c r="W1537" s="96"/>
      <c r="X1537" s="96"/>
      <c r="Y1537" s="96"/>
      <c r="Z1537" s="96"/>
    </row>
    <row r="1538" spans="1:26" s="9" customFormat="1" ht="15.75">
      <c r="A1538" s="34" t="s">
        <v>18</v>
      </c>
      <c r="B1538" s="18">
        <v>84</v>
      </c>
      <c r="C1538" s="18">
        <v>91</v>
      </c>
      <c r="D1538" s="18">
        <v>152</v>
      </c>
      <c r="E1538" s="18">
        <v>64</v>
      </c>
      <c r="F1538" s="18">
        <v>9</v>
      </c>
      <c r="G1538" s="18">
        <v>37</v>
      </c>
      <c r="H1538" s="18">
        <v>15</v>
      </c>
      <c r="I1538" s="18">
        <v>59</v>
      </c>
      <c r="J1538" s="18">
        <v>51</v>
      </c>
      <c r="K1538" s="18">
        <f t="shared" si="2295"/>
        <v>62.444444444444443</v>
      </c>
      <c r="L1538" s="18">
        <v>39</v>
      </c>
      <c r="M1538" s="18">
        <v>48</v>
      </c>
      <c r="N1538" s="133">
        <f t="shared" si="2296"/>
        <v>711.44444444444446</v>
      </c>
      <c r="O1538" s="19">
        <f t="shared" si="2297"/>
        <v>59.287037037037038</v>
      </c>
      <c r="P1538" s="96"/>
      <c r="Q1538" s="96"/>
      <c r="R1538" s="96"/>
      <c r="S1538" s="96"/>
      <c r="T1538" s="96"/>
      <c r="U1538" s="96"/>
      <c r="V1538" s="96"/>
      <c r="W1538" s="96"/>
      <c r="X1538" s="96"/>
      <c r="Y1538" s="96"/>
      <c r="Z1538" s="96"/>
    </row>
    <row r="1539" spans="1:26" s="9" customFormat="1" ht="15.75">
      <c r="A1539" s="34" t="s">
        <v>19</v>
      </c>
      <c r="B1539" s="18">
        <v>44</v>
      </c>
      <c r="C1539" s="18">
        <v>49</v>
      </c>
      <c r="D1539" s="18">
        <v>20</v>
      </c>
      <c r="E1539" s="18">
        <v>29</v>
      </c>
      <c r="F1539" s="18">
        <v>18</v>
      </c>
      <c r="G1539" s="18">
        <v>31</v>
      </c>
      <c r="H1539" s="18">
        <v>15</v>
      </c>
      <c r="I1539" s="18">
        <v>24</v>
      </c>
      <c r="J1539" s="18">
        <v>36</v>
      </c>
      <c r="K1539" s="18">
        <f t="shared" si="2295"/>
        <v>29.555555555555557</v>
      </c>
      <c r="L1539" s="18">
        <v>21</v>
      </c>
      <c r="M1539" s="18">
        <v>13</v>
      </c>
      <c r="N1539" s="133">
        <f t="shared" si="2296"/>
        <v>329.55555555555554</v>
      </c>
      <c r="O1539" s="19">
        <f t="shared" si="2297"/>
        <v>27.462962962962962</v>
      </c>
      <c r="P1539" s="96"/>
      <c r="Q1539" s="96"/>
      <c r="R1539" s="96"/>
      <c r="S1539" s="96"/>
      <c r="T1539" s="96"/>
      <c r="U1539" s="96"/>
      <c r="V1539" s="96"/>
      <c r="W1539" s="96"/>
      <c r="X1539" s="96"/>
      <c r="Y1539" s="96"/>
      <c r="Z1539" s="96"/>
    </row>
    <row r="1540" spans="1:26" s="9" customFormat="1" ht="15.75">
      <c r="A1540" s="34" t="s">
        <v>226</v>
      </c>
      <c r="B1540" s="18">
        <v>11</v>
      </c>
      <c r="C1540" s="18">
        <f>16+1+1</f>
        <v>18</v>
      </c>
      <c r="D1540" s="18">
        <v>5</v>
      </c>
      <c r="E1540" s="18">
        <v>9</v>
      </c>
      <c r="F1540" s="18">
        <v>5</v>
      </c>
      <c r="G1540" s="18">
        <v>13</v>
      </c>
      <c r="H1540" s="18">
        <v>9</v>
      </c>
      <c r="I1540" s="18">
        <v>3</v>
      </c>
      <c r="J1540" s="18">
        <v>25</v>
      </c>
      <c r="K1540" s="18">
        <f t="shared" si="2295"/>
        <v>10.888888888888889</v>
      </c>
      <c r="L1540" s="18">
        <v>3</v>
      </c>
      <c r="M1540" s="18">
        <v>7</v>
      </c>
      <c r="N1540" s="133">
        <f t="shared" si="2296"/>
        <v>118.88888888888889</v>
      </c>
      <c r="O1540" s="19">
        <f t="shared" si="2297"/>
        <v>9.9074074074074066</v>
      </c>
      <c r="P1540" s="96"/>
      <c r="Q1540" s="96"/>
      <c r="R1540" s="96"/>
      <c r="S1540" s="96"/>
      <c r="T1540" s="96"/>
      <c r="U1540" s="96"/>
      <c r="V1540" s="96"/>
      <c r="W1540" s="96"/>
      <c r="X1540" s="96"/>
      <c r="Y1540" s="96"/>
      <c r="Z1540" s="96"/>
    </row>
    <row r="1541" spans="1:26" s="9" customFormat="1" ht="15.75">
      <c r="A1541" s="34" t="s">
        <v>225</v>
      </c>
      <c r="B1541" s="18">
        <v>0</v>
      </c>
      <c r="C1541" s="18">
        <v>0</v>
      </c>
      <c r="D1541" s="18">
        <v>2</v>
      </c>
      <c r="E1541" s="18">
        <v>0</v>
      </c>
      <c r="F1541" s="18">
        <v>4</v>
      </c>
      <c r="G1541" s="18">
        <v>0</v>
      </c>
      <c r="H1541" s="18">
        <v>0</v>
      </c>
      <c r="I1541" s="18">
        <v>0</v>
      </c>
      <c r="J1541" s="18">
        <v>0</v>
      </c>
      <c r="K1541" s="18">
        <f t="shared" si="2295"/>
        <v>0.66666666666666663</v>
      </c>
      <c r="L1541" s="18">
        <v>0</v>
      </c>
      <c r="M1541" s="18">
        <v>0</v>
      </c>
      <c r="N1541" s="133">
        <f t="shared" si="2296"/>
        <v>6.666666666666667</v>
      </c>
      <c r="O1541" s="19">
        <f t="shared" si="2297"/>
        <v>0.55555555555555558</v>
      </c>
      <c r="P1541" s="96"/>
      <c r="Q1541" s="96"/>
      <c r="R1541" s="96"/>
      <c r="S1541" s="96"/>
      <c r="T1541" s="96"/>
      <c r="U1541" s="96"/>
      <c r="V1541" s="96"/>
      <c r="W1541" s="96"/>
      <c r="X1541" s="96"/>
      <c r="Y1541" s="96"/>
      <c r="Z1541" s="96"/>
    </row>
    <row r="1542" spans="1:26" s="9" customFormat="1" ht="15.75">
      <c r="A1542" s="34" t="s">
        <v>560</v>
      </c>
      <c r="B1542" s="18">
        <v>0</v>
      </c>
      <c r="C1542" s="18">
        <v>0</v>
      </c>
      <c r="D1542" s="18">
        <v>0</v>
      </c>
      <c r="E1542" s="18">
        <v>0</v>
      </c>
      <c r="F1542" s="18">
        <v>0</v>
      </c>
      <c r="G1542" s="18">
        <v>0</v>
      </c>
      <c r="H1542" s="18">
        <v>0</v>
      </c>
      <c r="I1542" s="18">
        <v>0</v>
      </c>
      <c r="J1542" s="18">
        <v>0</v>
      </c>
      <c r="K1542" s="18">
        <f t="shared" si="2295"/>
        <v>0</v>
      </c>
      <c r="L1542" s="18">
        <v>0</v>
      </c>
      <c r="M1542" s="18">
        <v>0</v>
      </c>
      <c r="N1542" s="133">
        <f t="shared" si="2296"/>
        <v>0</v>
      </c>
      <c r="O1542" s="19">
        <f t="shared" si="2297"/>
        <v>0</v>
      </c>
      <c r="P1542" s="96"/>
      <c r="Q1542" s="96"/>
      <c r="R1542" s="96"/>
      <c r="S1542" s="96"/>
      <c r="T1542" s="96"/>
      <c r="U1542" s="96"/>
      <c r="V1542" s="96"/>
      <c r="W1542" s="96"/>
      <c r="X1542" s="96"/>
      <c r="Y1542" s="96"/>
      <c r="Z1542" s="96"/>
    </row>
    <row r="1543" spans="1:26" s="9" customFormat="1" ht="15.75">
      <c r="A1543" s="34" t="s">
        <v>227</v>
      </c>
      <c r="B1543" s="18">
        <v>5</v>
      </c>
      <c r="C1543" s="18">
        <v>1</v>
      </c>
      <c r="D1543" s="18">
        <v>1</v>
      </c>
      <c r="E1543" s="18">
        <v>0</v>
      </c>
      <c r="F1543" s="18">
        <v>1</v>
      </c>
      <c r="G1543" s="18">
        <v>1</v>
      </c>
      <c r="H1543" s="18">
        <v>0</v>
      </c>
      <c r="I1543" s="18">
        <v>1</v>
      </c>
      <c r="J1543" s="18">
        <v>1</v>
      </c>
      <c r="K1543" s="18">
        <f t="shared" si="2295"/>
        <v>1.2222222222222223</v>
      </c>
      <c r="L1543" s="18">
        <v>0</v>
      </c>
      <c r="M1543" s="18">
        <v>0</v>
      </c>
      <c r="N1543" s="133">
        <f t="shared" si="2296"/>
        <v>12.222222222222221</v>
      </c>
      <c r="O1543" s="19">
        <f t="shared" si="2297"/>
        <v>1.0185185185185184</v>
      </c>
      <c r="P1543" s="96"/>
      <c r="Q1543" s="96"/>
      <c r="R1543" s="96"/>
      <c r="S1543" s="96"/>
      <c r="T1543" s="96"/>
      <c r="U1543" s="96"/>
      <c r="V1543" s="96"/>
      <c r="W1543" s="96"/>
      <c r="X1543" s="96"/>
      <c r="Y1543" s="96"/>
      <c r="Z1543" s="96"/>
    </row>
    <row r="1544" spans="1:26" s="9" customFormat="1" ht="15.75">
      <c r="A1544" s="34" t="s">
        <v>682</v>
      </c>
      <c r="B1544" s="18">
        <v>0</v>
      </c>
      <c r="C1544" s="18">
        <v>0</v>
      </c>
      <c r="D1544" s="18">
        <v>0</v>
      </c>
      <c r="E1544" s="18">
        <v>7</v>
      </c>
      <c r="F1544" s="18">
        <v>0</v>
      </c>
      <c r="G1544" s="18">
        <v>0</v>
      </c>
      <c r="H1544" s="18">
        <v>0</v>
      </c>
      <c r="I1544" s="18">
        <v>0</v>
      </c>
      <c r="J1544" s="18">
        <v>0</v>
      </c>
      <c r="K1544" s="18">
        <f t="shared" si="2295"/>
        <v>0.77777777777777779</v>
      </c>
      <c r="L1544" s="18">
        <v>0</v>
      </c>
      <c r="M1544" s="18">
        <v>0</v>
      </c>
      <c r="N1544" s="133">
        <f t="shared" ref="N1544:N1546" si="2300">SUM(B1544:M1544)</f>
        <v>7.7777777777777777</v>
      </c>
      <c r="O1544" s="19">
        <f t="shared" ref="O1544:O1546" si="2301">IF(N1544=0,0,AVERAGE(B1544:M1544))</f>
        <v>0.64814814814814814</v>
      </c>
      <c r="P1544" s="96"/>
      <c r="Q1544" s="96"/>
      <c r="R1544" s="96"/>
      <c r="S1544" s="96"/>
      <c r="T1544" s="96"/>
      <c r="U1544" s="96"/>
      <c r="V1544" s="96"/>
      <c r="W1544" s="96"/>
      <c r="X1544" s="96"/>
      <c r="Y1544" s="96"/>
      <c r="Z1544" s="96"/>
    </row>
    <row r="1545" spans="1:26" s="9" customFormat="1" ht="15.75">
      <c r="A1545" s="34" t="s">
        <v>681</v>
      </c>
      <c r="B1545" s="18">
        <v>0</v>
      </c>
      <c r="C1545" s="18">
        <v>0</v>
      </c>
      <c r="D1545" s="18">
        <v>1</v>
      </c>
      <c r="E1545" s="18">
        <v>0</v>
      </c>
      <c r="F1545" s="18">
        <v>6</v>
      </c>
      <c r="G1545" s="18">
        <v>0</v>
      </c>
      <c r="H1545" s="18">
        <v>0</v>
      </c>
      <c r="I1545" s="18">
        <v>3</v>
      </c>
      <c r="J1545" s="18">
        <v>0</v>
      </c>
      <c r="K1545" s="18">
        <f t="shared" si="2295"/>
        <v>1.1111111111111112</v>
      </c>
      <c r="L1545" s="18">
        <v>3</v>
      </c>
      <c r="M1545" s="18">
        <v>1</v>
      </c>
      <c r="N1545" s="133">
        <f t="shared" si="2300"/>
        <v>15.111111111111111</v>
      </c>
      <c r="O1545" s="19">
        <f t="shared" si="2301"/>
        <v>1.2592592592592593</v>
      </c>
      <c r="P1545" s="96"/>
      <c r="Q1545" s="96"/>
      <c r="R1545" s="96"/>
      <c r="S1545" s="96"/>
      <c r="T1545" s="96"/>
      <c r="U1545" s="96"/>
      <c r="V1545" s="96"/>
      <c r="W1545" s="96"/>
      <c r="X1545" s="96"/>
      <c r="Y1545" s="96"/>
      <c r="Z1545" s="96"/>
    </row>
    <row r="1546" spans="1:26" s="9" customFormat="1" ht="15.75">
      <c r="A1546" s="34" t="s">
        <v>683</v>
      </c>
      <c r="B1546" s="18">
        <v>1</v>
      </c>
      <c r="C1546" s="18">
        <v>5</v>
      </c>
      <c r="D1546" s="18">
        <v>1</v>
      </c>
      <c r="E1546" s="18">
        <v>1</v>
      </c>
      <c r="F1546" s="18">
        <v>0</v>
      </c>
      <c r="G1546" s="18">
        <v>0</v>
      </c>
      <c r="H1546" s="18">
        <v>0</v>
      </c>
      <c r="I1546" s="18">
        <v>1</v>
      </c>
      <c r="J1546" s="18">
        <v>0</v>
      </c>
      <c r="K1546" s="18">
        <f t="shared" si="2295"/>
        <v>1</v>
      </c>
      <c r="L1546" s="18">
        <v>0</v>
      </c>
      <c r="M1546" s="18">
        <v>0</v>
      </c>
      <c r="N1546" s="133">
        <f t="shared" si="2300"/>
        <v>10</v>
      </c>
      <c r="O1546" s="19">
        <f t="shared" si="2301"/>
        <v>0.83333333333333337</v>
      </c>
      <c r="P1546" s="96"/>
      <c r="Q1546" s="96"/>
      <c r="R1546" s="96"/>
      <c r="S1546" s="96"/>
      <c r="T1546" s="96"/>
      <c r="U1546" s="96"/>
      <c r="V1546" s="96"/>
      <c r="W1546" s="96"/>
      <c r="X1546" s="96"/>
      <c r="Y1546" s="96"/>
      <c r="Z1546" s="96"/>
    </row>
    <row r="1547" spans="1:26" s="9" customFormat="1" ht="15.75">
      <c r="A1547" s="34" t="s">
        <v>30</v>
      </c>
      <c r="B1547" s="18">
        <v>3</v>
      </c>
      <c r="C1547" s="18">
        <v>5</v>
      </c>
      <c r="D1547" s="18">
        <v>10</v>
      </c>
      <c r="E1547" s="18">
        <v>6</v>
      </c>
      <c r="F1547" s="18">
        <v>15</v>
      </c>
      <c r="G1547" s="18">
        <v>9</v>
      </c>
      <c r="H1547" s="18">
        <v>5</v>
      </c>
      <c r="I1547" s="18">
        <v>3</v>
      </c>
      <c r="J1547" s="18">
        <v>9</v>
      </c>
      <c r="K1547" s="18">
        <f t="shared" si="2295"/>
        <v>7.2222222222222223</v>
      </c>
      <c r="L1547" s="18">
        <v>4</v>
      </c>
      <c r="M1547" s="18">
        <v>9</v>
      </c>
      <c r="N1547" s="133">
        <f t="shared" si="2296"/>
        <v>85.222222222222229</v>
      </c>
      <c r="O1547" s="19">
        <f t="shared" si="2297"/>
        <v>7.1018518518518521</v>
      </c>
      <c r="P1547" s="96"/>
      <c r="Q1547" s="96"/>
      <c r="R1547" s="96"/>
      <c r="S1547" s="96"/>
      <c r="T1547" s="96"/>
      <c r="U1547" s="96"/>
      <c r="V1547" s="96"/>
      <c r="W1547" s="96"/>
      <c r="X1547" s="96"/>
      <c r="Y1547" s="96"/>
      <c r="Z1547" s="96"/>
    </row>
    <row r="1548" spans="1:26" s="9" customFormat="1" ht="15.75">
      <c r="A1548" s="34" t="s">
        <v>228</v>
      </c>
      <c r="B1548" s="18">
        <f>10+2+2</f>
        <v>14</v>
      </c>
      <c r="C1548" s="18">
        <v>3</v>
      </c>
      <c r="D1548" s="18">
        <f>11+1</f>
        <v>12</v>
      </c>
      <c r="E1548" s="18">
        <v>2</v>
      </c>
      <c r="F1548" s="18">
        <v>3</v>
      </c>
      <c r="G1548" s="18">
        <v>2</v>
      </c>
      <c r="H1548" s="18">
        <v>2</v>
      </c>
      <c r="I1548" s="18">
        <f>6+3</f>
        <v>9</v>
      </c>
      <c r="J1548" s="18">
        <v>2</v>
      </c>
      <c r="K1548" s="18">
        <f t="shared" si="2295"/>
        <v>5.4444444444444446</v>
      </c>
      <c r="L1548" s="18">
        <v>2</v>
      </c>
      <c r="M1548" s="18">
        <v>5</v>
      </c>
      <c r="N1548" s="133">
        <f t="shared" si="2296"/>
        <v>61.444444444444443</v>
      </c>
      <c r="O1548" s="19">
        <f t="shared" si="2297"/>
        <v>5.1203703703703702</v>
      </c>
      <c r="P1548" s="96"/>
      <c r="Q1548" s="96"/>
      <c r="R1548" s="96"/>
      <c r="S1548" s="96"/>
      <c r="T1548" s="96"/>
      <c r="U1548" s="96"/>
      <c r="V1548" s="96"/>
      <c r="W1548" s="96"/>
      <c r="X1548" s="96"/>
      <c r="Y1548" s="96"/>
      <c r="Z1548" s="96"/>
    </row>
    <row r="1549" spans="1:26" s="9" customFormat="1" ht="15.75">
      <c r="A1549" s="34" t="s">
        <v>372</v>
      </c>
      <c r="B1549" s="18">
        <v>0</v>
      </c>
      <c r="C1549" s="18">
        <v>0</v>
      </c>
      <c r="D1549" s="18">
        <v>0</v>
      </c>
      <c r="E1549" s="18">
        <v>0</v>
      </c>
      <c r="F1549" s="18">
        <v>0</v>
      </c>
      <c r="G1549" s="18">
        <v>0</v>
      </c>
      <c r="H1549" s="18">
        <v>0</v>
      </c>
      <c r="I1549" s="18">
        <v>0</v>
      </c>
      <c r="J1549" s="18">
        <v>0</v>
      </c>
      <c r="K1549" s="18">
        <f t="shared" si="2295"/>
        <v>0</v>
      </c>
      <c r="L1549" s="18">
        <v>0</v>
      </c>
      <c r="M1549" s="18">
        <v>0</v>
      </c>
      <c r="N1549" s="133">
        <f t="shared" si="2296"/>
        <v>0</v>
      </c>
      <c r="O1549" s="19">
        <f t="shared" si="2297"/>
        <v>0</v>
      </c>
      <c r="P1549" s="96"/>
      <c r="Q1549" s="96"/>
      <c r="R1549" s="96"/>
      <c r="S1549" s="96"/>
      <c r="T1549" s="96"/>
      <c r="U1549" s="96"/>
      <c r="V1549" s="96"/>
      <c r="W1549" s="96"/>
      <c r="X1549" s="96"/>
      <c r="Y1549" s="96"/>
      <c r="Z1549" s="96"/>
    </row>
    <row r="1550" spans="1:26" s="9" customFormat="1" ht="15.75">
      <c r="A1550" s="34" t="s">
        <v>238</v>
      </c>
      <c r="B1550" s="18">
        <v>0</v>
      </c>
      <c r="C1550" s="18">
        <v>0</v>
      </c>
      <c r="D1550" s="18">
        <v>1</v>
      </c>
      <c r="E1550" s="18">
        <v>1</v>
      </c>
      <c r="F1550" s="18">
        <v>0</v>
      </c>
      <c r="G1550" s="18">
        <v>0</v>
      </c>
      <c r="H1550" s="18">
        <v>0</v>
      </c>
      <c r="I1550" s="18">
        <v>1</v>
      </c>
      <c r="J1550" s="18">
        <v>0</v>
      </c>
      <c r="K1550" s="18">
        <f t="shared" si="2295"/>
        <v>0.33333333333333331</v>
      </c>
      <c r="L1550" s="18">
        <v>0</v>
      </c>
      <c r="M1550" s="18">
        <v>3</v>
      </c>
      <c r="N1550" s="133">
        <f t="shared" si="2296"/>
        <v>6.3333333333333339</v>
      </c>
      <c r="O1550" s="19">
        <f t="shared" si="2297"/>
        <v>0.52777777777777779</v>
      </c>
      <c r="P1550" s="96"/>
      <c r="Q1550" s="96"/>
      <c r="R1550" s="96"/>
      <c r="S1550" s="96"/>
      <c r="T1550" s="96"/>
      <c r="U1550" s="96"/>
      <c r="V1550" s="96"/>
      <c r="W1550" s="96"/>
      <c r="X1550" s="96"/>
      <c r="Y1550" s="96"/>
      <c r="Z1550" s="96"/>
    </row>
    <row r="1551" spans="1:26" s="9" customFormat="1" ht="15.75">
      <c r="A1551" s="34" t="s">
        <v>229</v>
      </c>
      <c r="B1551" s="18">
        <v>5</v>
      </c>
      <c r="C1551" s="18">
        <v>0</v>
      </c>
      <c r="D1551" s="18">
        <v>5</v>
      </c>
      <c r="E1551" s="18">
        <v>2</v>
      </c>
      <c r="F1551" s="18">
        <v>4</v>
      </c>
      <c r="G1551" s="18">
        <v>7</v>
      </c>
      <c r="H1551" s="18">
        <v>5</v>
      </c>
      <c r="I1551" s="18">
        <v>2</v>
      </c>
      <c r="J1551" s="18">
        <v>7</v>
      </c>
      <c r="K1551" s="18">
        <f t="shared" si="2295"/>
        <v>4.1111111111111107</v>
      </c>
      <c r="L1551" s="18">
        <v>1</v>
      </c>
      <c r="M1551" s="18">
        <v>0</v>
      </c>
      <c r="N1551" s="133">
        <f t="shared" si="2296"/>
        <v>42.111111111111114</v>
      </c>
      <c r="O1551" s="19">
        <f t="shared" si="2297"/>
        <v>3.5092592592592595</v>
      </c>
      <c r="P1551" s="96"/>
      <c r="Q1551" s="96"/>
      <c r="R1551" s="96"/>
      <c r="S1551" s="96"/>
      <c r="T1551" s="96"/>
      <c r="U1551" s="96"/>
      <c r="V1551" s="96"/>
      <c r="W1551" s="96"/>
      <c r="X1551" s="96"/>
      <c r="Y1551" s="96"/>
      <c r="Z1551" s="96"/>
    </row>
    <row r="1552" spans="1:26" s="9" customFormat="1" ht="15.75">
      <c r="A1552" s="34" t="s">
        <v>230</v>
      </c>
      <c r="B1552" s="18">
        <v>2</v>
      </c>
      <c r="C1552" s="18">
        <v>0</v>
      </c>
      <c r="D1552" s="18">
        <v>1</v>
      </c>
      <c r="E1552" s="18">
        <v>0</v>
      </c>
      <c r="F1552" s="18">
        <v>1</v>
      </c>
      <c r="G1552" s="18">
        <v>0</v>
      </c>
      <c r="H1552" s="18">
        <v>0</v>
      </c>
      <c r="I1552" s="18">
        <v>2</v>
      </c>
      <c r="J1552" s="18">
        <v>0</v>
      </c>
      <c r="K1552" s="18">
        <f t="shared" si="2295"/>
        <v>0.66666666666666663</v>
      </c>
      <c r="L1552" s="18">
        <v>1</v>
      </c>
      <c r="M1552" s="18">
        <v>0</v>
      </c>
      <c r="N1552" s="133">
        <f t="shared" si="2296"/>
        <v>7.666666666666667</v>
      </c>
      <c r="O1552" s="19">
        <f t="shared" si="2297"/>
        <v>0.63888888888888895</v>
      </c>
      <c r="P1552" s="96"/>
      <c r="Q1552" s="96"/>
      <c r="R1552" s="96"/>
      <c r="S1552" s="96"/>
      <c r="T1552" s="96"/>
      <c r="U1552" s="96"/>
      <c r="V1552" s="96"/>
      <c r="W1552" s="96"/>
      <c r="X1552" s="96"/>
      <c r="Y1552" s="96"/>
      <c r="Z1552" s="96"/>
    </row>
    <row r="1553" spans="1:26" s="9" customFormat="1" ht="15.75">
      <c r="A1553" s="34" t="s">
        <v>371</v>
      </c>
      <c r="B1553" s="18">
        <v>0</v>
      </c>
      <c r="C1553" s="18">
        <v>0</v>
      </c>
      <c r="D1553" s="18">
        <v>0</v>
      </c>
      <c r="E1553" s="18">
        <v>0</v>
      </c>
      <c r="F1553" s="18">
        <v>0</v>
      </c>
      <c r="G1553" s="18">
        <v>0</v>
      </c>
      <c r="H1553" s="18">
        <v>0</v>
      </c>
      <c r="I1553" s="18">
        <v>0</v>
      </c>
      <c r="J1553" s="18">
        <v>0</v>
      </c>
      <c r="K1553" s="18">
        <f t="shared" si="2295"/>
        <v>0</v>
      </c>
      <c r="L1553" s="18">
        <v>0</v>
      </c>
      <c r="M1553" s="18">
        <v>1</v>
      </c>
      <c r="N1553" s="133">
        <f t="shared" si="2296"/>
        <v>1</v>
      </c>
      <c r="O1553" s="19">
        <f t="shared" si="2297"/>
        <v>8.3333333333333329E-2</v>
      </c>
      <c r="P1553" s="96"/>
      <c r="Q1553" s="96"/>
      <c r="R1553" s="96"/>
      <c r="S1553" s="96"/>
      <c r="T1553" s="96"/>
      <c r="U1553" s="96"/>
      <c r="V1553" s="96"/>
      <c r="W1553" s="96"/>
      <c r="X1553" s="96"/>
      <c r="Y1553" s="96"/>
      <c r="Z1553" s="96"/>
    </row>
    <row r="1554" spans="1:26" s="9" customFormat="1" ht="15.75">
      <c r="A1554" s="34" t="s">
        <v>316</v>
      </c>
      <c r="B1554" s="18">
        <v>0</v>
      </c>
      <c r="C1554" s="18">
        <v>0</v>
      </c>
      <c r="D1554" s="18">
        <v>0</v>
      </c>
      <c r="E1554" s="18">
        <v>0</v>
      </c>
      <c r="F1554" s="18">
        <v>0</v>
      </c>
      <c r="G1554" s="18">
        <v>0</v>
      </c>
      <c r="H1554" s="18">
        <v>0</v>
      </c>
      <c r="I1554" s="18">
        <v>0</v>
      </c>
      <c r="J1554" s="18">
        <v>0</v>
      </c>
      <c r="K1554" s="18">
        <f t="shared" si="2295"/>
        <v>0</v>
      </c>
      <c r="L1554" s="18">
        <v>0</v>
      </c>
      <c r="M1554" s="18">
        <v>0</v>
      </c>
      <c r="N1554" s="133">
        <f t="shared" si="2296"/>
        <v>0</v>
      </c>
      <c r="O1554" s="19">
        <f t="shared" si="2297"/>
        <v>0</v>
      </c>
      <c r="P1554" s="96"/>
      <c r="Q1554" s="96"/>
      <c r="R1554" s="96"/>
      <c r="S1554" s="96"/>
      <c r="T1554" s="96"/>
      <c r="U1554" s="96"/>
      <c r="V1554" s="96"/>
      <c r="W1554" s="96"/>
      <c r="X1554" s="96"/>
      <c r="Y1554" s="96"/>
      <c r="Z1554" s="96"/>
    </row>
    <row r="1555" spans="1:26" s="9" customFormat="1" ht="15.75">
      <c r="A1555" s="34" t="s">
        <v>231</v>
      </c>
      <c r="B1555" s="18">
        <v>0</v>
      </c>
      <c r="C1555" s="18">
        <v>0</v>
      </c>
      <c r="D1555" s="18">
        <v>0</v>
      </c>
      <c r="E1555" s="18">
        <v>0</v>
      </c>
      <c r="F1555" s="18">
        <v>0</v>
      </c>
      <c r="G1555" s="18">
        <v>0</v>
      </c>
      <c r="H1555" s="18">
        <v>0</v>
      </c>
      <c r="I1555" s="18">
        <v>0</v>
      </c>
      <c r="J1555" s="18">
        <v>0</v>
      </c>
      <c r="K1555" s="18">
        <f t="shared" si="2295"/>
        <v>0</v>
      </c>
      <c r="L1555" s="18">
        <v>0</v>
      </c>
      <c r="M1555" s="18">
        <v>0</v>
      </c>
      <c r="N1555" s="133">
        <f t="shared" si="2296"/>
        <v>0</v>
      </c>
      <c r="O1555" s="19">
        <f t="shared" si="2297"/>
        <v>0</v>
      </c>
      <c r="P1555" s="96"/>
      <c r="Q1555" s="96"/>
      <c r="R1555" s="96"/>
      <c r="S1555" s="96"/>
      <c r="T1555" s="96"/>
      <c r="U1555" s="96"/>
      <c r="V1555" s="96"/>
      <c r="W1555" s="96"/>
      <c r="X1555" s="96"/>
      <c r="Y1555" s="96"/>
      <c r="Z1555" s="96"/>
    </row>
    <row r="1556" spans="1:26" s="9" customFormat="1" ht="15.75">
      <c r="A1556" s="34" t="s">
        <v>180</v>
      </c>
      <c r="B1556" s="18">
        <v>4</v>
      </c>
      <c r="C1556" s="18">
        <v>5</v>
      </c>
      <c r="D1556" s="18">
        <v>13</v>
      </c>
      <c r="E1556" s="18">
        <v>7</v>
      </c>
      <c r="F1556" s="18">
        <v>3</v>
      </c>
      <c r="G1556" s="18">
        <v>6</v>
      </c>
      <c r="H1556" s="18">
        <v>6</v>
      </c>
      <c r="I1556" s="18">
        <v>5</v>
      </c>
      <c r="J1556" s="18">
        <v>6</v>
      </c>
      <c r="K1556" s="18">
        <f t="shared" si="2295"/>
        <v>6.1111111111111107</v>
      </c>
      <c r="L1556" s="18">
        <v>2</v>
      </c>
      <c r="M1556" s="18">
        <v>3</v>
      </c>
      <c r="N1556" s="133">
        <f t="shared" si="2296"/>
        <v>66.111111111111114</v>
      </c>
      <c r="O1556" s="19">
        <f t="shared" si="2297"/>
        <v>5.5092592592592595</v>
      </c>
      <c r="P1556" s="96"/>
      <c r="Q1556" s="96"/>
      <c r="R1556" s="96"/>
      <c r="S1556" s="96"/>
      <c r="T1556" s="96"/>
      <c r="U1556" s="96"/>
      <c r="V1556" s="96"/>
      <c r="W1556" s="96"/>
      <c r="X1556" s="96"/>
      <c r="Y1556" s="96"/>
      <c r="Z1556" s="96"/>
    </row>
    <row r="1557" spans="1:26" s="9" customFormat="1" ht="15.75">
      <c r="A1557" s="34" t="s">
        <v>217</v>
      </c>
      <c r="B1557" s="18">
        <v>8</v>
      </c>
      <c r="C1557" s="18">
        <v>0</v>
      </c>
      <c r="D1557" s="18">
        <v>10</v>
      </c>
      <c r="E1557" s="18">
        <v>6</v>
      </c>
      <c r="F1557" s="18">
        <v>1</v>
      </c>
      <c r="G1557" s="18">
        <v>1</v>
      </c>
      <c r="H1557" s="18">
        <v>1</v>
      </c>
      <c r="I1557" s="18">
        <v>2</v>
      </c>
      <c r="J1557" s="18">
        <v>1</v>
      </c>
      <c r="K1557" s="18">
        <f t="shared" si="2295"/>
        <v>3.3333333333333335</v>
      </c>
      <c r="L1557" s="18">
        <v>2</v>
      </c>
      <c r="M1557" s="18">
        <v>0</v>
      </c>
      <c r="N1557" s="133">
        <f t="shared" si="2296"/>
        <v>35.333333333333336</v>
      </c>
      <c r="O1557" s="19">
        <f t="shared" si="2297"/>
        <v>2.9444444444444446</v>
      </c>
      <c r="P1557" s="96"/>
      <c r="Q1557" s="96"/>
      <c r="R1557" s="96"/>
      <c r="S1557" s="96"/>
      <c r="T1557" s="96"/>
      <c r="U1557" s="96"/>
      <c r="V1557" s="96"/>
      <c r="W1557" s="96"/>
      <c r="X1557" s="96"/>
      <c r="Y1557" s="96"/>
      <c r="Z1557" s="96"/>
    </row>
    <row r="1558" spans="1:26" s="9" customFormat="1" ht="15.75">
      <c r="A1558" s="34" t="s">
        <v>334</v>
      </c>
      <c r="B1558" s="18">
        <v>20</v>
      </c>
      <c r="C1558" s="18">
        <v>1</v>
      </c>
      <c r="D1558" s="18">
        <v>1</v>
      </c>
      <c r="E1558" s="18">
        <v>3</v>
      </c>
      <c r="F1558" s="18">
        <v>2</v>
      </c>
      <c r="G1558" s="18">
        <v>4</v>
      </c>
      <c r="H1558" s="18">
        <v>4</v>
      </c>
      <c r="I1558" s="18">
        <v>0</v>
      </c>
      <c r="J1558" s="18">
        <v>4</v>
      </c>
      <c r="K1558" s="18">
        <f t="shared" si="2295"/>
        <v>4.333333333333333</v>
      </c>
      <c r="L1558" s="18">
        <v>0</v>
      </c>
      <c r="M1558" s="18">
        <v>1</v>
      </c>
      <c r="N1558" s="133">
        <f t="shared" si="2296"/>
        <v>44.333333333333336</v>
      </c>
      <c r="O1558" s="19">
        <f t="shared" si="2297"/>
        <v>3.6944444444444446</v>
      </c>
      <c r="P1558" s="96"/>
      <c r="Q1558" s="96"/>
      <c r="R1558" s="96"/>
      <c r="S1558" s="96"/>
      <c r="T1558" s="96"/>
      <c r="U1558" s="96"/>
      <c r="V1558" s="96"/>
      <c r="W1558" s="96"/>
      <c r="X1558" s="96"/>
      <c r="Y1558" s="96"/>
      <c r="Z1558" s="96"/>
    </row>
    <row r="1559" spans="1:26" s="9" customFormat="1" ht="15.75">
      <c r="A1559" s="34" t="s">
        <v>315</v>
      </c>
      <c r="B1559" s="18">
        <v>5</v>
      </c>
      <c r="C1559" s="18">
        <v>0</v>
      </c>
      <c r="D1559" s="18">
        <v>0</v>
      </c>
      <c r="E1559" s="18">
        <v>0</v>
      </c>
      <c r="F1559" s="18">
        <v>0</v>
      </c>
      <c r="G1559" s="18">
        <v>3</v>
      </c>
      <c r="H1559" s="18">
        <v>3</v>
      </c>
      <c r="I1559" s="18">
        <v>2</v>
      </c>
      <c r="J1559" s="18">
        <v>3</v>
      </c>
      <c r="K1559" s="18">
        <f t="shared" si="2295"/>
        <v>1.7777777777777777</v>
      </c>
      <c r="L1559" s="18">
        <v>0</v>
      </c>
      <c r="M1559" s="18">
        <v>0</v>
      </c>
      <c r="N1559" s="133">
        <f t="shared" si="2296"/>
        <v>17.777777777777779</v>
      </c>
      <c r="O1559" s="19">
        <f t="shared" si="2297"/>
        <v>1.4814814814814816</v>
      </c>
      <c r="P1559" s="96"/>
      <c r="Q1559" s="96"/>
      <c r="R1559" s="96"/>
      <c r="S1559" s="96"/>
      <c r="T1559" s="96"/>
      <c r="U1559" s="96"/>
      <c r="V1559" s="96"/>
      <c r="W1559" s="96"/>
      <c r="X1559" s="96"/>
      <c r="Y1559" s="96"/>
      <c r="Z1559" s="96"/>
    </row>
    <row r="1560" spans="1:26" s="9" customFormat="1" ht="30">
      <c r="A1560" s="34" t="s">
        <v>341</v>
      </c>
      <c r="B1560" s="18">
        <v>0</v>
      </c>
      <c r="C1560" s="18">
        <v>0</v>
      </c>
      <c r="D1560" s="18">
        <v>0</v>
      </c>
      <c r="E1560" s="18">
        <v>1</v>
      </c>
      <c r="F1560" s="18">
        <v>2</v>
      </c>
      <c r="G1560" s="18">
        <v>0</v>
      </c>
      <c r="H1560" s="18">
        <v>0</v>
      </c>
      <c r="I1560" s="18">
        <v>0</v>
      </c>
      <c r="J1560" s="18">
        <v>0</v>
      </c>
      <c r="K1560" s="18">
        <f t="shared" si="2295"/>
        <v>0.33333333333333331</v>
      </c>
      <c r="L1560" s="18">
        <v>0</v>
      </c>
      <c r="M1560" s="18">
        <v>1</v>
      </c>
      <c r="N1560" s="133">
        <f t="shared" si="2296"/>
        <v>4.3333333333333339</v>
      </c>
      <c r="O1560" s="19">
        <f t="shared" si="2297"/>
        <v>0.36111111111111116</v>
      </c>
      <c r="P1560" s="96"/>
      <c r="Q1560" s="96"/>
      <c r="R1560" s="96"/>
      <c r="S1560" s="96"/>
      <c r="T1560" s="96"/>
      <c r="U1560" s="96"/>
      <c r="V1560" s="96"/>
      <c r="W1560" s="96"/>
      <c r="X1560" s="96"/>
      <c r="Y1560" s="96"/>
      <c r="Z1560" s="96"/>
    </row>
    <row r="1561" spans="1:26" s="9" customFormat="1" ht="15.75">
      <c r="A1561" s="34" t="s">
        <v>232</v>
      </c>
      <c r="B1561" s="18">
        <v>4</v>
      </c>
      <c r="C1561" s="18">
        <v>3</v>
      </c>
      <c r="D1561" s="18">
        <v>7</v>
      </c>
      <c r="E1561" s="18">
        <v>3</v>
      </c>
      <c r="F1561" s="18">
        <v>0</v>
      </c>
      <c r="G1561" s="18">
        <v>4</v>
      </c>
      <c r="H1561" s="18">
        <v>4</v>
      </c>
      <c r="I1561" s="18">
        <v>0</v>
      </c>
      <c r="J1561" s="18">
        <v>4</v>
      </c>
      <c r="K1561" s="18">
        <f t="shared" si="2295"/>
        <v>3.2222222222222223</v>
      </c>
      <c r="L1561" s="18">
        <v>1</v>
      </c>
      <c r="M1561" s="18">
        <v>0</v>
      </c>
      <c r="N1561" s="133">
        <f t="shared" si="2296"/>
        <v>33.222222222222221</v>
      </c>
      <c r="O1561" s="19">
        <f t="shared" si="2297"/>
        <v>2.7685185185185186</v>
      </c>
      <c r="P1561" s="96"/>
      <c r="Q1561" s="96"/>
      <c r="R1561" s="96"/>
      <c r="S1561" s="96"/>
      <c r="T1561" s="96"/>
      <c r="U1561" s="96"/>
      <c r="V1561" s="96"/>
      <c r="W1561" s="96"/>
      <c r="X1561" s="96"/>
      <c r="Y1561" s="96"/>
      <c r="Z1561" s="96"/>
    </row>
    <row r="1562" spans="1:26" s="9" customFormat="1" ht="15.75">
      <c r="A1562" s="34" t="s">
        <v>233</v>
      </c>
      <c r="B1562" s="18">
        <v>0</v>
      </c>
      <c r="C1562" s="18">
        <v>3</v>
      </c>
      <c r="D1562" s="18">
        <v>4</v>
      </c>
      <c r="E1562" s="18">
        <v>1</v>
      </c>
      <c r="F1562" s="18">
        <v>0</v>
      </c>
      <c r="G1562" s="18">
        <v>0</v>
      </c>
      <c r="H1562" s="18">
        <v>0</v>
      </c>
      <c r="I1562" s="18">
        <v>1</v>
      </c>
      <c r="J1562" s="18">
        <v>0</v>
      </c>
      <c r="K1562" s="18">
        <f t="shared" si="2295"/>
        <v>1</v>
      </c>
      <c r="L1562" s="18">
        <v>0</v>
      </c>
      <c r="M1562" s="18">
        <v>0</v>
      </c>
      <c r="N1562" s="133">
        <f t="shared" si="2296"/>
        <v>10</v>
      </c>
      <c r="O1562" s="19">
        <f t="shared" si="2297"/>
        <v>0.83333333333333337</v>
      </c>
      <c r="P1562" s="96"/>
      <c r="Q1562" s="96"/>
      <c r="R1562" s="96"/>
      <c r="S1562" s="96"/>
      <c r="T1562" s="96"/>
      <c r="U1562" s="96"/>
      <c r="V1562" s="96"/>
      <c r="W1562" s="96"/>
      <c r="X1562" s="96"/>
      <c r="Y1562" s="96"/>
      <c r="Z1562" s="96"/>
    </row>
    <row r="1563" spans="1:26" s="9" customFormat="1" ht="15.75">
      <c r="A1563" s="34" t="s">
        <v>302</v>
      </c>
      <c r="B1563" s="18">
        <v>1</v>
      </c>
      <c r="C1563" s="18">
        <f>1</f>
        <v>1</v>
      </c>
      <c r="D1563" s="18">
        <v>0</v>
      </c>
      <c r="E1563" s="18">
        <v>0</v>
      </c>
      <c r="F1563" s="18">
        <v>1</v>
      </c>
      <c r="G1563" s="18">
        <v>0</v>
      </c>
      <c r="H1563" s="18">
        <v>0</v>
      </c>
      <c r="I1563" s="18">
        <v>0</v>
      </c>
      <c r="J1563" s="18">
        <v>0</v>
      </c>
      <c r="K1563" s="18">
        <f t="shared" si="2295"/>
        <v>0.33333333333333331</v>
      </c>
      <c r="L1563" s="18">
        <v>0</v>
      </c>
      <c r="M1563" s="18">
        <v>0</v>
      </c>
      <c r="N1563" s="133">
        <f t="shared" si="2296"/>
        <v>3.3333333333333335</v>
      </c>
      <c r="O1563" s="19">
        <f t="shared" si="2297"/>
        <v>0.27777777777777779</v>
      </c>
      <c r="P1563" s="96"/>
      <c r="Q1563" s="96"/>
      <c r="R1563" s="96"/>
      <c r="S1563" s="96"/>
      <c r="T1563" s="96"/>
      <c r="U1563" s="96"/>
      <c r="V1563" s="96"/>
      <c r="W1563" s="96"/>
      <c r="X1563" s="96"/>
      <c r="Y1563" s="96"/>
      <c r="Z1563" s="96"/>
    </row>
    <row r="1564" spans="1:26" s="9" customFormat="1" ht="15.75">
      <c r="A1564" s="34" t="s">
        <v>182</v>
      </c>
      <c r="B1564" s="18">
        <v>1</v>
      </c>
      <c r="C1564" s="18">
        <v>1</v>
      </c>
      <c r="D1564" s="18">
        <v>0</v>
      </c>
      <c r="E1564" s="18">
        <v>0</v>
      </c>
      <c r="F1564" s="18">
        <v>0</v>
      </c>
      <c r="G1564" s="18">
        <v>1</v>
      </c>
      <c r="H1564" s="18">
        <v>1</v>
      </c>
      <c r="I1564" s="18">
        <v>1</v>
      </c>
      <c r="J1564" s="18">
        <v>1</v>
      </c>
      <c r="K1564" s="18">
        <f t="shared" si="2295"/>
        <v>0.66666666666666663</v>
      </c>
      <c r="L1564" s="18">
        <v>0</v>
      </c>
      <c r="M1564" s="18">
        <v>1</v>
      </c>
      <c r="N1564" s="133">
        <f t="shared" si="2296"/>
        <v>7.666666666666667</v>
      </c>
      <c r="O1564" s="19">
        <f t="shared" si="2297"/>
        <v>0.63888888888888895</v>
      </c>
      <c r="P1564" s="96"/>
      <c r="Q1564" s="96"/>
      <c r="R1564" s="96"/>
      <c r="S1564" s="96"/>
      <c r="T1564" s="96"/>
      <c r="U1564" s="96"/>
      <c r="V1564" s="96"/>
      <c r="W1564" s="96"/>
      <c r="X1564" s="96"/>
      <c r="Y1564" s="96"/>
      <c r="Z1564" s="96"/>
    </row>
    <row r="1565" spans="1:26" s="9" customFormat="1" ht="15.75">
      <c r="A1565" s="34" t="s">
        <v>234</v>
      </c>
      <c r="B1565" s="18">
        <v>5</v>
      </c>
      <c r="C1565" s="18">
        <f>10</f>
        <v>10</v>
      </c>
      <c r="D1565" s="18">
        <v>6</v>
      </c>
      <c r="E1565" s="18">
        <v>5</v>
      </c>
      <c r="F1565" s="18">
        <v>3</v>
      </c>
      <c r="G1565" s="18">
        <v>7</v>
      </c>
      <c r="H1565" s="18">
        <v>7</v>
      </c>
      <c r="I1565" s="18">
        <v>7</v>
      </c>
      <c r="J1565" s="18">
        <v>7</v>
      </c>
      <c r="K1565" s="18">
        <f t="shared" si="2295"/>
        <v>6.333333333333333</v>
      </c>
      <c r="L1565" s="18">
        <v>6</v>
      </c>
      <c r="M1565" s="18">
        <v>1</v>
      </c>
      <c r="N1565" s="133">
        <f t="shared" si="2296"/>
        <v>70.333333333333343</v>
      </c>
      <c r="O1565" s="19">
        <f t="shared" si="2297"/>
        <v>5.8611111111111116</v>
      </c>
      <c r="P1565" s="96"/>
      <c r="Q1565" s="96"/>
      <c r="R1565" s="96"/>
      <c r="S1565" s="96"/>
      <c r="T1565" s="96"/>
      <c r="U1565" s="96"/>
      <c r="V1565" s="96"/>
      <c r="W1565" s="96"/>
      <c r="X1565" s="96"/>
      <c r="Y1565" s="96"/>
      <c r="Z1565" s="96"/>
    </row>
    <row r="1566" spans="1:26" s="9" customFormat="1" ht="15.75">
      <c r="A1566" s="34" t="s">
        <v>317</v>
      </c>
      <c r="B1566" s="18">
        <v>0</v>
      </c>
      <c r="C1566" s="18">
        <v>0</v>
      </c>
      <c r="D1566" s="18">
        <v>0</v>
      </c>
      <c r="E1566" s="18">
        <v>0</v>
      </c>
      <c r="F1566" s="18">
        <v>2</v>
      </c>
      <c r="G1566" s="18">
        <v>0</v>
      </c>
      <c r="H1566" s="18">
        <v>0</v>
      </c>
      <c r="I1566" s="18">
        <v>1</v>
      </c>
      <c r="J1566" s="18">
        <v>0</v>
      </c>
      <c r="K1566" s="18">
        <f t="shared" si="2295"/>
        <v>0.33333333333333331</v>
      </c>
      <c r="L1566" s="18">
        <v>0</v>
      </c>
      <c r="M1566" s="18">
        <v>1</v>
      </c>
      <c r="N1566" s="133">
        <f t="shared" si="2296"/>
        <v>4.3333333333333339</v>
      </c>
      <c r="O1566" s="19">
        <f t="shared" si="2297"/>
        <v>0.36111111111111116</v>
      </c>
      <c r="P1566" s="96"/>
      <c r="Q1566" s="96"/>
      <c r="R1566" s="96"/>
      <c r="S1566" s="96"/>
      <c r="T1566" s="96"/>
      <c r="U1566" s="96"/>
      <c r="V1566" s="96"/>
      <c r="W1566" s="96"/>
      <c r="X1566" s="96"/>
      <c r="Y1566" s="96"/>
      <c r="Z1566" s="96"/>
    </row>
    <row r="1567" spans="1:26" s="9" customFormat="1" ht="15.75">
      <c r="A1567" s="34" t="s">
        <v>289</v>
      </c>
      <c r="B1567" s="18">
        <v>0</v>
      </c>
      <c r="C1567" s="18">
        <v>0</v>
      </c>
      <c r="D1567" s="18">
        <v>2</v>
      </c>
      <c r="E1567" s="18">
        <v>6</v>
      </c>
      <c r="F1567" s="18">
        <v>1</v>
      </c>
      <c r="G1567" s="18">
        <v>2</v>
      </c>
      <c r="H1567" s="18">
        <v>2</v>
      </c>
      <c r="I1567" s="18">
        <v>0</v>
      </c>
      <c r="J1567" s="18">
        <v>2</v>
      </c>
      <c r="K1567" s="18">
        <f t="shared" si="2295"/>
        <v>1.6666666666666667</v>
      </c>
      <c r="L1567" s="18">
        <v>0</v>
      </c>
      <c r="M1567" s="18">
        <v>0</v>
      </c>
      <c r="N1567" s="133">
        <f t="shared" si="2296"/>
        <v>16.666666666666668</v>
      </c>
      <c r="O1567" s="19">
        <f t="shared" si="2297"/>
        <v>1.3888888888888891</v>
      </c>
      <c r="P1567" s="96"/>
      <c r="Q1567" s="96"/>
      <c r="R1567" s="96"/>
      <c r="S1567" s="96"/>
      <c r="T1567" s="96"/>
      <c r="U1567" s="96"/>
      <c r="V1567" s="96"/>
      <c r="W1567" s="96"/>
      <c r="X1567" s="96"/>
      <c r="Y1567" s="96"/>
      <c r="Z1567" s="96"/>
    </row>
    <row r="1568" spans="1:26" s="9" customFormat="1" ht="15" customHeight="1">
      <c r="A1568" s="34" t="s">
        <v>324</v>
      </c>
      <c r="B1568" s="18">
        <v>0</v>
      </c>
      <c r="C1568" s="18">
        <v>0</v>
      </c>
      <c r="D1568" s="18">
        <v>1</v>
      </c>
      <c r="E1568" s="18">
        <v>5</v>
      </c>
      <c r="F1568" s="18">
        <v>0</v>
      </c>
      <c r="G1568" s="18">
        <v>1</v>
      </c>
      <c r="H1568" s="18">
        <v>1</v>
      </c>
      <c r="I1568" s="18">
        <v>0</v>
      </c>
      <c r="J1568" s="18">
        <v>1</v>
      </c>
      <c r="K1568" s="18">
        <f t="shared" si="2295"/>
        <v>1</v>
      </c>
      <c r="L1568" s="18">
        <v>1</v>
      </c>
      <c r="M1568" s="18">
        <v>2</v>
      </c>
      <c r="N1568" s="133">
        <f t="shared" si="2296"/>
        <v>13</v>
      </c>
      <c r="O1568" s="19">
        <f t="shared" si="2297"/>
        <v>1.0833333333333333</v>
      </c>
      <c r="P1568" s="96"/>
      <c r="Q1568" s="96"/>
      <c r="R1568" s="96"/>
      <c r="S1568" s="96"/>
      <c r="T1568" s="96"/>
      <c r="U1568" s="96"/>
      <c r="V1568" s="96"/>
      <c r="W1568" s="96"/>
      <c r="X1568" s="96"/>
      <c r="Y1568" s="96"/>
      <c r="Z1568" s="96"/>
    </row>
    <row r="1569" spans="1:26" s="9" customFormat="1" ht="30">
      <c r="A1569" s="37" t="s">
        <v>318</v>
      </c>
      <c r="B1569" s="18">
        <v>3</v>
      </c>
      <c r="C1569" s="18">
        <v>1</v>
      </c>
      <c r="D1569" s="18">
        <v>1</v>
      </c>
      <c r="E1569" s="18">
        <v>0</v>
      </c>
      <c r="F1569" s="18">
        <v>0</v>
      </c>
      <c r="G1569" s="18">
        <v>0</v>
      </c>
      <c r="H1569" s="18">
        <v>0</v>
      </c>
      <c r="I1569" s="18">
        <v>0</v>
      </c>
      <c r="J1569" s="18">
        <v>0</v>
      </c>
      <c r="K1569" s="18">
        <f t="shared" si="2295"/>
        <v>0.55555555555555558</v>
      </c>
      <c r="L1569" s="18">
        <v>1</v>
      </c>
      <c r="M1569" s="18">
        <v>0</v>
      </c>
      <c r="N1569" s="133">
        <f t="shared" si="2296"/>
        <v>6.5555555555555554</v>
      </c>
      <c r="O1569" s="19">
        <f t="shared" si="2297"/>
        <v>0.54629629629629628</v>
      </c>
      <c r="P1569" s="96"/>
      <c r="Q1569" s="96"/>
      <c r="R1569" s="96"/>
      <c r="S1569" s="96"/>
      <c r="T1569" s="96"/>
      <c r="U1569" s="96"/>
      <c r="V1569" s="96"/>
      <c r="W1569" s="96"/>
      <c r="X1569" s="96"/>
      <c r="Y1569" s="96"/>
      <c r="Z1569" s="96"/>
    </row>
    <row r="1570" spans="1:26" s="9" customFormat="1" ht="15.75">
      <c r="A1570" s="37" t="s">
        <v>840</v>
      </c>
      <c r="B1570" s="18">
        <v>0</v>
      </c>
      <c r="C1570" s="18">
        <f>9+3</f>
        <v>12</v>
      </c>
      <c r="D1570" s="18">
        <v>2</v>
      </c>
      <c r="E1570" s="18">
        <v>0</v>
      </c>
      <c r="F1570" s="18">
        <v>0</v>
      </c>
      <c r="G1570" s="18">
        <v>0</v>
      </c>
      <c r="H1570" s="18">
        <v>0</v>
      </c>
      <c r="I1570" s="18">
        <v>0</v>
      </c>
      <c r="J1570" s="18">
        <v>0</v>
      </c>
      <c r="K1570" s="18">
        <f t="shared" si="2295"/>
        <v>1.5555555555555556</v>
      </c>
      <c r="L1570" s="18">
        <v>0</v>
      </c>
      <c r="M1570" s="18">
        <v>0</v>
      </c>
      <c r="N1570" s="133">
        <f t="shared" si="2296"/>
        <v>15.555555555555555</v>
      </c>
      <c r="O1570" s="19">
        <f t="shared" si="2297"/>
        <v>1.2962962962962963</v>
      </c>
      <c r="P1570" s="96"/>
      <c r="Q1570" s="96"/>
      <c r="R1570" s="96"/>
      <c r="S1570" s="96"/>
      <c r="T1570" s="96"/>
      <c r="U1570" s="96"/>
      <c r="V1570" s="96"/>
      <c r="W1570" s="96"/>
      <c r="X1570" s="96"/>
      <c r="Y1570" s="96"/>
      <c r="Z1570" s="96"/>
    </row>
    <row r="1571" spans="1:26" s="9" customFormat="1" ht="15.75">
      <c r="A1571" s="37" t="s">
        <v>242</v>
      </c>
      <c r="B1571" s="18">
        <v>0</v>
      </c>
      <c r="C1571" s="18">
        <v>1</v>
      </c>
      <c r="D1571" s="18">
        <v>0</v>
      </c>
      <c r="E1571" s="18">
        <v>0</v>
      </c>
      <c r="F1571" s="18">
        <v>0</v>
      </c>
      <c r="G1571" s="18">
        <v>0</v>
      </c>
      <c r="H1571" s="18">
        <v>0</v>
      </c>
      <c r="I1571" s="18">
        <v>1</v>
      </c>
      <c r="J1571" s="18">
        <v>0</v>
      </c>
      <c r="K1571" s="18">
        <f t="shared" si="2295"/>
        <v>0.22222222222222221</v>
      </c>
      <c r="L1571" s="18">
        <v>0</v>
      </c>
      <c r="M1571" s="18">
        <v>0</v>
      </c>
      <c r="N1571" s="133">
        <f t="shared" ref="N1571" si="2302">SUM(B1571:M1571)</f>
        <v>2.2222222222222223</v>
      </c>
      <c r="O1571" s="19">
        <f t="shared" ref="O1571" si="2303">IF(N1571=0,0,AVERAGE(B1571:M1571))</f>
        <v>0.1851851851851852</v>
      </c>
      <c r="P1571" s="96"/>
      <c r="Q1571" s="96"/>
      <c r="R1571" s="96"/>
      <c r="S1571" s="96"/>
      <c r="T1571" s="96"/>
      <c r="U1571" s="96"/>
      <c r="V1571" s="96"/>
      <c r="W1571" s="96"/>
      <c r="X1571" s="96"/>
      <c r="Y1571" s="96"/>
      <c r="Z1571" s="96"/>
    </row>
    <row r="1572" spans="1:26" s="9" customFormat="1" ht="30">
      <c r="A1572" s="34" t="s">
        <v>323</v>
      </c>
      <c r="B1572" s="18">
        <v>0</v>
      </c>
      <c r="C1572" s="18">
        <v>5</v>
      </c>
      <c r="D1572" s="18">
        <v>0</v>
      </c>
      <c r="E1572" s="18">
        <v>0</v>
      </c>
      <c r="F1572" s="18">
        <v>0</v>
      </c>
      <c r="G1572" s="18">
        <v>0</v>
      </c>
      <c r="H1572" s="18">
        <v>0</v>
      </c>
      <c r="I1572" s="18">
        <v>0</v>
      </c>
      <c r="J1572" s="18">
        <v>0</v>
      </c>
      <c r="K1572" s="18">
        <f t="shared" si="2295"/>
        <v>0.55555555555555558</v>
      </c>
      <c r="L1572" s="18">
        <v>0</v>
      </c>
      <c r="M1572" s="18">
        <v>0</v>
      </c>
      <c r="N1572" s="133">
        <f t="shared" si="2296"/>
        <v>5.5555555555555554</v>
      </c>
      <c r="O1572" s="19">
        <f t="shared" si="2297"/>
        <v>0.46296296296296297</v>
      </c>
      <c r="P1572" s="96"/>
      <c r="Q1572" s="96"/>
      <c r="R1572" s="96"/>
      <c r="S1572" s="96"/>
      <c r="T1572" s="96"/>
      <c r="U1572" s="96"/>
      <c r="V1572" s="96"/>
      <c r="W1572" s="96"/>
      <c r="X1572" s="96"/>
      <c r="Y1572" s="96"/>
      <c r="Z1572" s="96"/>
    </row>
    <row r="1573" spans="1:26" s="9" customFormat="1" ht="16.5" customHeight="1">
      <c r="A1573" s="34" t="s">
        <v>338</v>
      </c>
      <c r="B1573" s="18">
        <v>23</v>
      </c>
      <c r="C1573" s="18">
        <v>4</v>
      </c>
      <c r="D1573" s="18">
        <v>27</v>
      </c>
      <c r="E1573" s="18">
        <v>4</v>
      </c>
      <c r="F1573" s="18">
        <v>2</v>
      </c>
      <c r="G1573" s="18">
        <v>1</v>
      </c>
      <c r="H1573" s="18">
        <v>1</v>
      </c>
      <c r="I1573" s="18">
        <v>2</v>
      </c>
      <c r="J1573" s="18">
        <v>1</v>
      </c>
      <c r="K1573" s="18">
        <f t="shared" si="2295"/>
        <v>7.2222222222222223</v>
      </c>
      <c r="L1573" s="18">
        <v>4</v>
      </c>
      <c r="M1573" s="18">
        <v>20</v>
      </c>
      <c r="N1573" s="133">
        <f t="shared" si="2296"/>
        <v>96.222222222222229</v>
      </c>
      <c r="O1573" s="19">
        <f t="shared" si="2297"/>
        <v>8.018518518518519</v>
      </c>
      <c r="P1573" s="96"/>
      <c r="Q1573" s="96"/>
      <c r="R1573" s="96"/>
      <c r="S1573" s="96"/>
      <c r="T1573" s="96"/>
      <c r="U1573" s="96"/>
      <c r="V1573" s="96"/>
      <c r="W1573" s="96"/>
      <c r="X1573" s="96"/>
      <c r="Y1573" s="96"/>
      <c r="Z1573" s="96"/>
    </row>
    <row r="1574" spans="1:26" s="9" customFormat="1" ht="15.75">
      <c r="A1574" s="34" t="s">
        <v>235</v>
      </c>
      <c r="B1574" s="18">
        <v>31</v>
      </c>
      <c r="C1574" s="18">
        <v>10</v>
      </c>
      <c r="D1574" s="18">
        <v>19</v>
      </c>
      <c r="E1574" s="18">
        <v>32</v>
      </c>
      <c r="F1574" s="18">
        <v>15</v>
      </c>
      <c r="G1574" s="18">
        <v>21</v>
      </c>
      <c r="H1574" s="18">
        <v>21</v>
      </c>
      <c r="I1574" s="18">
        <v>9</v>
      </c>
      <c r="J1574" s="18">
        <v>21</v>
      </c>
      <c r="K1574" s="18">
        <f t="shared" si="2295"/>
        <v>19.888888888888889</v>
      </c>
      <c r="L1574" s="18">
        <v>14</v>
      </c>
      <c r="M1574" s="18">
        <v>9</v>
      </c>
      <c r="N1574" s="133">
        <f t="shared" si="2296"/>
        <v>221.88888888888889</v>
      </c>
      <c r="O1574" s="19">
        <f t="shared" si="2297"/>
        <v>18.49074074074074</v>
      </c>
      <c r="P1574" s="96"/>
      <c r="Q1574" s="96"/>
      <c r="R1574" s="96"/>
      <c r="S1574" s="96"/>
      <c r="T1574" s="96"/>
      <c r="U1574" s="96"/>
      <c r="V1574" s="96"/>
      <c r="W1574" s="96"/>
      <c r="X1574" s="96"/>
      <c r="Y1574" s="96"/>
      <c r="Z1574" s="96"/>
    </row>
    <row r="1575" spans="1:26" s="9" customFormat="1" ht="15.75">
      <c r="A1575" s="34" t="s">
        <v>236</v>
      </c>
      <c r="B1575" s="18">
        <v>2</v>
      </c>
      <c r="C1575" s="18">
        <v>2</v>
      </c>
      <c r="D1575" s="18">
        <v>1</v>
      </c>
      <c r="E1575" s="18">
        <v>0</v>
      </c>
      <c r="F1575" s="18">
        <v>0</v>
      </c>
      <c r="G1575" s="18">
        <v>0</v>
      </c>
      <c r="H1575" s="18">
        <v>0</v>
      </c>
      <c r="I1575" s="18">
        <v>2</v>
      </c>
      <c r="J1575" s="18">
        <v>0</v>
      </c>
      <c r="K1575" s="18">
        <f t="shared" si="2295"/>
        <v>0.77777777777777779</v>
      </c>
      <c r="L1575" s="18">
        <v>1</v>
      </c>
      <c r="M1575" s="18">
        <v>1</v>
      </c>
      <c r="N1575" s="133">
        <f t="shared" si="2296"/>
        <v>9.7777777777777786</v>
      </c>
      <c r="O1575" s="19">
        <f t="shared" si="2297"/>
        <v>0.81481481481481488</v>
      </c>
      <c r="P1575" s="96"/>
      <c r="Q1575" s="96"/>
      <c r="R1575" s="96"/>
      <c r="S1575" s="96"/>
      <c r="T1575" s="96"/>
      <c r="U1575" s="96"/>
      <c r="V1575" s="96"/>
      <c r="W1575" s="96"/>
      <c r="X1575" s="96"/>
      <c r="Y1575" s="96"/>
      <c r="Z1575" s="96"/>
    </row>
    <row r="1576" spans="1:26" s="9" customFormat="1" ht="15.75">
      <c r="A1576" s="37" t="s">
        <v>184</v>
      </c>
      <c r="B1576" s="18">
        <v>0</v>
      </c>
      <c r="C1576" s="18">
        <v>0</v>
      </c>
      <c r="D1576" s="18">
        <v>0</v>
      </c>
      <c r="E1576" s="18">
        <v>0</v>
      </c>
      <c r="F1576" s="18">
        <v>0</v>
      </c>
      <c r="G1576" s="18">
        <v>0</v>
      </c>
      <c r="H1576" s="18">
        <v>0</v>
      </c>
      <c r="I1576" s="18">
        <v>0</v>
      </c>
      <c r="J1576" s="18">
        <v>0</v>
      </c>
      <c r="K1576" s="18">
        <f t="shared" si="2295"/>
        <v>0</v>
      </c>
      <c r="L1576" s="18">
        <v>0</v>
      </c>
      <c r="M1576" s="18">
        <v>0</v>
      </c>
      <c r="N1576" s="133">
        <f t="shared" si="2296"/>
        <v>0</v>
      </c>
      <c r="O1576" s="19">
        <f t="shared" si="2297"/>
        <v>0</v>
      </c>
      <c r="P1576" s="96"/>
      <c r="Q1576" s="96"/>
      <c r="R1576" s="96"/>
      <c r="S1576" s="96"/>
      <c r="T1576" s="96"/>
      <c r="U1576" s="96"/>
      <c r="V1576" s="96"/>
      <c r="W1576" s="96"/>
      <c r="X1576" s="96"/>
      <c r="Y1576" s="96"/>
      <c r="Z1576" s="96"/>
    </row>
    <row r="1577" spans="1:26" s="9" customFormat="1" ht="15.75">
      <c r="A1577" s="34" t="s">
        <v>20</v>
      </c>
      <c r="B1577" s="18">
        <v>12</v>
      </c>
      <c r="C1577" s="18">
        <v>17</v>
      </c>
      <c r="D1577" s="18">
        <v>25</v>
      </c>
      <c r="E1577" s="18">
        <v>34</v>
      </c>
      <c r="F1577" s="18">
        <v>26</v>
      </c>
      <c r="G1577" s="18">
        <v>29</v>
      </c>
      <c r="H1577" s="18">
        <v>29</v>
      </c>
      <c r="I1577" s="18">
        <v>7</v>
      </c>
      <c r="J1577" s="18">
        <v>33</v>
      </c>
      <c r="K1577" s="18">
        <f t="shared" si="2295"/>
        <v>23.555555555555557</v>
      </c>
      <c r="L1577" s="18">
        <v>20</v>
      </c>
      <c r="M1577" s="18">
        <v>17</v>
      </c>
      <c r="N1577" s="133">
        <f t="shared" si="2296"/>
        <v>272.55555555555554</v>
      </c>
      <c r="O1577" s="19">
        <f t="shared" si="2297"/>
        <v>22.712962962962962</v>
      </c>
      <c r="P1577" s="96"/>
      <c r="Q1577" s="96"/>
      <c r="R1577" s="96"/>
      <c r="S1577" s="96"/>
      <c r="T1577" s="96"/>
      <c r="U1577" s="96"/>
      <c r="V1577" s="96"/>
      <c r="W1577" s="96"/>
      <c r="X1577" s="96"/>
      <c r="Y1577" s="96"/>
      <c r="Z1577" s="96"/>
    </row>
    <row r="1578" spans="1:26" s="9" customFormat="1" ht="15.75">
      <c r="A1578" s="37" t="s">
        <v>22</v>
      </c>
      <c r="B1578" s="18">
        <v>0</v>
      </c>
      <c r="C1578" s="18">
        <v>0</v>
      </c>
      <c r="D1578" s="18">
        <v>0</v>
      </c>
      <c r="E1578" s="18">
        <v>0</v>
      </c>
      <c r="F1578" s="18">
        <v>2</v>
      </c>
      <c r="G1578" s="18">
        <v>1</v>
      </c>
      <c r="H1578" s="18">
        <v>0</v>
      </c>
      <c r="I1578" s="18">
        <v>4</v>
      </c>
      <c r="J1578" s="18">
        <v>0</v>
      </c>
      <c r="K1578" s="18">
        <f t="shared" si="2295"/>
        <v>0.77777777777777779</v>
      </c>
      <c r="L1578" s="18">
        <v>6</v>
      </c>
      <c r="M1578" s="18">
        <v>2</v>
      </c>
      <c r="N1578" s="133">
        <f t="shared" si="2296"/>
        <v>15.777777777777779</v>
      </c>
      <c r="O1578" s="19">
        <f t="shared" si="2297"/>
        <v>1.3148148148148149</v>
      </c>
      <c r="P1578" s="96"/>
      <c r="Q1578" s="96"/>
      <c r="R1578" s="96"/>
      <c r="S1578" s="96"/>
      <c r="T1578" s="96"/>
      <c r="U1578" s="96"/>
      <c r="V1578" s="96"/>
      <c r="W1578" s="96"/>
      <c r="X1578" s="96"/>
      <c r="Y1578" s="96"/>
      <c r="Z1578" s="96"/>
    </row>
    <row r="1579" spans="1:26" s="9" customFormat="1" ht="15.75">
      <c r="A1579" s="56" t="s">
        <v>21</v>
      </c>
      <c r="B1579" s="21">
        <f t="shared" ref="B1579:G1579" si="2304">SUM(B1527:B1578)</f>
        <v>398</v>
      </c>
      <c r="C1579" s="21">
        <f t="shared" si="2304"/>
        <v>326</v>
      </c>
      <c r="D1579" s="21">
        <f t="shared" si="2304"/>
        <v>454</v>
      </c>
      <c r="E1579" s="21">
        <f t="shared" si="2304"/>
        <v>342</v>
      </c>
      <c r="F1579" s="21">
        <f t="shared" si="2304"/>
        <v>213</v>
      </c>
      <c r="G1579" s="21">
        <f t="shared" si="2304"/>
        <v>260</v>
      </c>
      <c r="H1579" s="21">
        <f t="shared" ref="H1579:M1579" si="2305">SUM(H1527:H1578)</f>
        <v>210</v>
      </c>
      <c r="I1579" s="21">
        <f t="shared" si="2305"/>
        <v>240</v>
      </c>
      <c r="J1579" s="21">
        <f t="shared" si="2305"/>
        <v>294</v>
      </c>
      <c r="K1579" s="21">
        <f t="shared" si="2305"/>
        <v>304.11111111111109</v>
      </c>
      <c r="L1579" s="21">
        <f t="shared" si="2305"/>
        <v>194</v>
      </c>
      <c r="M1579" s="21">
        <f t="shared" si="2305"/>
        <v>212</v>
      </c>
      <c r="N1579" s="128">
        <f>SUM(N1527:N1578)</f>
        <v>3447.1111111111122</v>
      </c>
      <c r="O1579" s="22">
        <f>SUM(O1527:O1578)</f>
        <v>287.25925925925941</v>
      </c>
      <c r="P1579" s="96"/>
      <c r="Q1579" s="96"/>
      <c r="R1579" s="96"/>
      <c r="S1579" s="96"/>
      <c r="T1579" s="96"/>
      <c r="U1579" s="96"/>
      <c r="V1579" s="96"/>
      <c r="W1579" s="96"/>
      <c r="X1579" s="96"/>
      <c r="Y1579" s="96"/>
      <c r="Z1579" s="96"/>
    </row>
    <row r="1580" spans="1:26" s="9" customFormat="1">
      <c r="A1580" s="23"/>
      <c r="B1580" s="24"/>
      <c r="C1580" s="24"/>
      <c r="D1580" s="24"/>
      <c r="E1580" s="25"/>
      <c r="F1580" s="25"/>
      <c r="G1580" s="25"/>
      <c r="H1580" s="25"/>
      <c r="I1580" s="25"/>
      <c r="J1580" s="25"/>
      <c r="K1580" s="25"/>
      <c r="L1580" s="25"/>
      <c r="M1580" s="25"/>
      <c r="N1580" s="134"/>
      <c r="O1580" s="26"/>
      <c r="P1580" s="96"/>
      <c r="Q1580" s="96"/>
      <c r="R1580" s="96"/>
      <c r="S1580" s="96"/>
      <c r="T1580" s="96"/>
      <c r="U1580" s="96"/>
      <c r="V1580" s="96"/>
      <c r="W1580" s="96"/>
      <c r="X1580" s="96"/>
      <c r="Y1580" s="96"/>
      <c r="Z1580" s="96"/>
    </row>
    <row r="1581" spans="1:26" s="9" customFormat="1" ht="15.75">
      <c r="A1581" s="425" t="s">
        <v>243</v>
      </c>
      <c r="B1581" s="436"/>
      <c r="C1581" s="436"/>
      <c r="D1581" s="436"/>
      <c r="E1581" s="436"/>
      <c r="F1581" s="436"/>
      <c r="G1581" s="436"/>
      <c r="H1581" s="436"/>
      <c r="I1581" s="436"/>
      <c r="J1581" s="436"/>
      <c r="K1581" s="436"/>
      <c r="L1581" s="436"/>
      <c r="M1581" s="436"/>
      <c r="N1581" s="437"/>
      <c r="O1581" s="438"/>
      <c r="P1581" s="96"/>
      <c r="Q1581" s="96"/>
      <c r="R1581" s="96"/>
      <c r="S1581" s="96"/>
      <c r="T1581" s="96"/>
      <c r="U1581" s="96"/>
      <c r="V1581" s="96"/>
      <c r="W1581" s="96"/>
      <c r="X1581" s="96"/>
      <c r="Y1581" s="96"/>
      <c r="Z1581" s="96"/>
    </row>
    <row r="1582" spans="1:26" s="9" customFormat="1" ht="15.75">
      <c r="A1582" s="14" t="s">
        <v>583</v>
      </c>
      <c r="B1582" s="27"/>
      <c r="C1582" s="27"/>
      <c r="D1582" s="27"/>
      <c r="E1582" s="27"/>
      <c r="F1582" s="27"/>
      <c r="G1582" s="27"/>
      <c r="H1582" s="27"/>
      <c r="I1582" s="27"/>
      <c r="J1582" s="27"/>
      <c r="K1582" s="27"/>
      <c r="L1582" s="27"/>
      <c r="M1582" s="27"/>
      <c r="N1582" s="135"/>
      <c r="O1582" s="28"/>
      <c r="P1582" s="96"/>
      <c r="Q1582" s="96"/>
      <c r="R1582" s="96"/>
      <c r="S1582" s="96"/>
      <c r="T1582" s="96"/>
      <c r="U1582" s="96"/>
      <c r="V1582" s="96"/>
      <c r="W1582" s="96"/>
      <c r="X1582" s="96"/>
      <c r="Y1582" s="96"/>
      <c r="Z1582" s="96"/>
    </row>
    <row r="1583" spans="1:26" s="9" customFormat="1" ht="15.75">
      <c r="A1583" s="254" t="s">
        <v>223</v>
      </c>
      <c r="B1583" s="81">
        <v>5</v>
      </c>
      <c r="C1583" s="288">
        <v>5</v>
      </c>
      <c r="D1583" s="288">
        <v>5</v>
      </c>
      <c r="E1583" s="288">
        <v>5</v>
      </c>
      <c r="F1583" s="288">
        <v>5</v>
      </c>
      <c r="G1583" s="288">
        <v>5</v>
      </c>
      <c r="H1583" s="81">
        <v>5</v>
      </c>
      <c r="I1583" s="81">
        <v>5</v>
      </c>
      <c r="J1583" s="81">
        <v>5</v>
      </c>
      <c r="K1583" s="81">
        <v>5</v>
      </c>
      <c r="L1583" s="81">
        <v>5</v>
      </c>
      <c r="M1583" s="81">
        <v>5</v>
      </c>
      <c r="N1583" s="133">
        <f>SUM(B1583:M1583)</f>
        <v>60</v>
      </c>
      <c r="O1583" s="19">
        <f>IF(N1583=0,0,AVERAGE(B1583:M1583))</f>
        <v>5</v>
      </c>
      <c r="P1583" s="96"/>
      <c r="Q1583" s="96"/>
      <c r="R1583" s="96"/>
      <c r="S1583" s="96"/>
      <c r="T1583" s="96"/>
      <c r="U1583" s="96"/>
      <c r="V1583" s="96"/>
      <c r="W1583" s="96"/>
      <c r="X1583" s="96"/>
      <c r="Y1583" s="96"/>
      <c r="Z1583" s="96"/>
    </row>
    <row r="1584" spans="1:26" s="9" customFormat="1" ht="15" customHeight="1">
      <c r="A1584" s="254" t="s">
        <v>387</v>
      </c>
      <c r="B1584" s="81">
        <v>8</v>
      </c>
      <c r="C1584" s="288">
        <v>8</v>
      </c>
      <c r="D1584" s="288">
        <v>8</v>
      </c>
      <c r="E1584" s="288">
        <v>8</v>
      </c>
      <c r="F1584" s="288">
        <v>8</v>
      </c>
      <c r="G1584" s="288">
        <v>8</v>
      </c>
      <c r="H1584" s="81">
        <v>8</v>
      </c>
      <c r="I1584" s="81">
        <v>8</v>
      </c>
      <c r="J1584" s="81">
        <v>8</v>
      </c>
      <c r="K1584" s="81">
        <v>8</v>
      </c>
      <c r="L1584" s="81">
        <v>10</v>
      </c>
      <c r="M1584" s="81">
        <v>10</v>
      </c>
      <c r="N1584" s="133">
        <f t="shared" ref="N1584:N1620" si="2306">SUM(B1584:M1584)</f>
        <v>100</v>
      </c>
      <c r="O1584" s="19">
        <f t="shared" ref="O1584:O1620" si="2307">IF(N1584=0,0,AVERAGE(B1584:M1584))</f>
        <v>8.3333333333333339</v>
      </c>
      <c r="P1584" s="96"/>
      <c r="Q1584" s="96"/>
      <c r="R1584" s="96"/>
      <c r="S1584" s="96"/>
      <c r="T1584" s="96"/>
      <c r="U1584" s="96"/>
      <c r="V1584" s="96"/>
      <c r="W1584" s="96"/>
      <c r="X1584" s="96"/>
      <c r="Y1584" s="96"/>
      <c r="Z1584" s="96"/>
    </row>
    <row r="1585" spans="1:26" s="9" customFormat="1" ht="15.75">
      <c r="A1585" s="254" t="s">
        <v>388</v>
      </c>
      <c r="B1585" s="81">
        <v>1</v>
      </c>
      <c r="C1585" s="288">
        <v>1</v>
      </c>
      <c r="D1585" s="288">
        <v>1</v>
      </c>
      <c r="E1585" s="288">
        <v>1</v>
      </c>
      <c r="F1585" s="288">
        <v>1</v>
      </c>
      <c r="G1585" s="288">
        <v>1</v>
      </c>
      <c r="H1585" s="81">
        <v>1</v>
      </c>
      <c r="I1585" s="81">
        <v>1</v>
      </c>
      <c r="J1585" s="81">
        <v>2</v>
      </c>
      <c r="K1585" s="81">
        <v>1</v>
      </c>
      <c r="L1585" s="81">
        <v>1</v>
      </c>
      <c r="M1585" s="81">
        <v>1</v>
      </c>
      <c r="N1585" s="133">
        <f t="shared" si="2306"/>
        <v>13</v>
      </c>
      <c r="O1585" s="19">
        <f t="shared" si="2307"/>
        <v>1.0833333333333333</v>
      </c>
      <c r="P1585" s="96"/>
      <c r="Q1585" s="96"/>
      <c r="R1585" s="96"/>
      <c r="S1585" s="96"/>
      <c r="T1585" s="96"/>
      <c r="U1585" s="96"/>
      <c r="V1585" s="96"/>
      <c r="W1585" s="96"/>
      <c r="X1585" s="96"/>
      <c r="Y1585" s="96"/>
      <c r="Z1585" s="96"/>
    </row>
    <row r="1586" spans="1:26" s="9" customFormat="1" ht="15.75">
      <c r="A1586" s="254" t="s">
        <v>386</v>
      </c>
      <c r="B1586" s="81">
        <v>18</v>
      </c>
      <c r="C1586" s="288">
        <v>17</v>
      </c>
      <c r="D1586" s="288">
        <v>16</v>
      </c>
      <c r="E1586" s="288">
        <v>16</v>
      </c>
      <c r="F1586" s="288">
        <v>17</v>
      </c>
      <c r="G1586" s="288">
        <v>17</v>
      </c>
      <c r="H1586" s="81">
        <v>17</v>
      </c>
      <c r="I1586" s="81">
        <v>17</v>
      </c>
      <c r="J1586" s="81">
        <v>16</v>
      </c>
      <c r="K1586" s="81">
        <v>15</v>
      </c>
      <c r="L1586" s="81">
        <v>17</v>
      </c>
      <c r="M1586" s="81">
        <v>17</v>
      </c>
      <c r="N1586" s="133">
        <f t="shared" si="2306"/>
        <v>200</v>
      </c>
      <c r="O1586" s="19">
        <f t="shared" si="2307"/>
        <v>16.666666666666668</v>
      </c>
      <c r="P1586" s="96"/>
      <c r="Q1586" s="96"/>
      <c r="R1586" s="96"/>
      <c r="S1586" s="96"/>
      <c r="T1586" s="96"/>
      <c r="U1586" s="96"/>
      <c r="V1586" s="96"/>
      <c r="W1586" s="96"/>
      <c r="X1586" s="96"/>
      <c r="Y1586" s="96"/>
      <c r="Z1586" s="96"/>
    </row>
    <row r="1587" spans="1:26" s="9" customFormat="1" ht="14.25" customHeight="1">
      <c r="A1587" s="212" t="s">
        <v>389</v>
      </c>
      <c r="B1587" s="81">
        <v>1</v>
      </c>
      <c r="C1587" s="288">
        <v>1</v>
      </c>
      <c r="D1587" s="288">
        <v>1</v>
      </c>
      <c r="E1587" s="288">
        <v>1</v>
      </c>
      <c r="F1587" s="288">
        <v>1</v>
      </c>
      <c r="G1587" s="288">
        <v>1</v>
      </c>
      <c r="H1587" s="81">
        <v>1</v>
      </c>
      <c r="I1587" s="81">
        <v>1</v>
      </c>
      <c r="J1587" s="81">
        <v>1</v>
      </c>
      <c r="K1587" s="81">
        <v>1</v>
      </c>
      <c r="L1587" s="81">
        <v>1</v>
      </c>
      <c r="M1587" s="81">
        <v>1</v>
      </c>
      <c r="N1587" s="133">
        <f t="shared" si="2306"/>
        <v>12</v>
      </c>
      <c r="O1587" s="19">
        <f t="shared" si="2307"/>
        <v>1</v>
      </c>
      <c r="P1587" s="96"/>
      <c r="Q1587" s="96"/>
      <c r="R1587" s="96"/>
      <c r="S1587" s="96"/>
      <c r="T1587" s="96"/>
      <c r="U1587" s="96"/>
      <c r="V1587" s="96"/>
      <c r="W1587" s="96"/>
      <c r="X1587" s="96"/>
      <c r="Y1587" s="96"/>
      <c r="Z1587" s="96"/>
    </row>
    <row r="1588" spans="1:26" s="9" customFormat="1" ht="15.75">
      <c r="A1588" s="254" t="s">
        <v>225</v>
      </c>
      <c r="B1588" s="81">
        <v>2</v>
      </c>
      <c r="C1588" s="288">
        <v>2</v>
      </c>
      <c r="D1588" s="288">
        <v>2</v>
      </c>
      <c r="E1588" s="288">
        <v>2</v>
      </c>
      <c r="F1588" s="288">
        <v>2</v>
      </c>
      <c r="G1588" s="288">
        <v>2</v>
      </c>
      <c r="H1588" s="81">
        <v>2</v>
      </c>
      <c r="I1588" s="81">
        <v>2</v>
      </c>
      <c r="J1588" s="81">
        <v>2</v>
      </c>
      <c r="K1588" s="81">
        <v>2</v>
      </c>
      <c r="L1588" s="81">
        <v>2</v>
      </c>
      <c r="M1588" s="81">
        <v>2</v>
      </c>
      <c r="N1588" s="133">
        <f t="shared" si="2306"/>
        <v>24</v>
      </c>
      <c r="O1588" s="19">
        <f t="shared" si="2307"/>
        <v>2</v>
      </c>
      <c r="P1588" s="96"/>
      <c r="Q1588" s="96"/>
      <c r="R1588" s="96"/>
      <c r="S1588" s="96"/>
      <c r="T1588" s="96"/>
      <c r="U1588" s="96"/>
      <c r="V1588" s="96"/>
      <c r="W1588" s="96"/>
      <c r="X1588" s="96"/>
      <c r="Y1588" s="96"/>
      <c r="Z1588" s="96"/>
    </row>
    <row r="1589" spans="1:26" s="9" customFormat="1" ht="15.75">
      <c r="A1589" s="254" t="s">
        <v>339</v>
      </c>
      <c r="B1589" s="81">
        <v>1</v>
      </c>
      <c r="C1589" s="288">
        <v>1</v>
      </c>
      <c r="D1589" s="288">
        <v>1</v>
      </c>
      <c r="E1589" s="288">
        <v>1</v>
      </c>
      <c r="F1589" s="288">
        <v>1</v>
      </c>
      <c r="G1589" s="288">
        <v>1</v>
      </c>
      <c r="H1589" s="81">
        <v>1</v>
      </c>
      <c r="I1589" s="81">
        <v>1</v>
      </c>
      <c r="J1589" s="81">
        <v>1</v>
      </c>
      <c r="K1589" s="81">
        <v>1</v>
      </c>
      <c r="L1589" s="81">
        <v>1</v>
      </c>
      <c r="M1589" s="81">
        <v>1</v>
      </c>
      <c r="N1589" s="133">
        <f t="shared" si="2306"/>
        <v>12</v>
      </c>
      <c r="O1589" s="19">
        <f t="shared" si="2307"/>
        <v>1</v>
      </c>
      <c r="P1589" s="96"/>
      <c r="Q1589" s="96"/>
      <c r="R1589" s="96"/>
      <c r="S1589" s="96"/>
      <c r="T1589" s="96"/>
      <c r="U1589" s="96"/>
      <c r="V1589" s="96"/>
      <c r="W1589" s="96"/>
      <c r="X1589" s="96"/>
      <c r="Y1589" s="96"/>
      <c r="Z1589" s="96"/>
    </row>
    <row r="1590" spans="1:26" s="9" customFormat="1" ht="15.75">
      <c r="A1590" s="254" t="s">
        <v>344</v>
      </c>
      <c r="B1590" s="81">
        <v>0</v>
      </c>
      <c r="C1590" s="288">
        <v>0</v>
      </c>
      <c r="D1590" s="288">
        <v>0</v>
      </c>
      <c r="E1590" s="288">
        <v>0</v>
      </c>
      <c r="F1590" s="288">
        <v>0</v>
      </c>
      <c r="G1590" s="288">
        <v>0</v>
      </c>
      <c r="H1590" s="81">
        <v>0</v>
      </c>
      <c r="I1590" s="81">
        <v>0</v>
      </c>
      <c r="J1590" s="81">
        <v>0</v>
      </c>
      <c r="K1590" s="81">
        <v>0</v>
      </c>
      <c r="L1590" s="81">
        <v>0</v>
      </c>
      <c r="M1590" s="81">
        <v>0</v>
      </c>
      <c r="N1590" s="133">
        <f t="shared" si="2306"/>
        <v>0</v>
      </c>
      <c r="O1590" s="19">
        <f t="shared" si="2307"/>
        <v>0</v>
      </c>
      <c r="P1590" s="96"/>
      <c r="Q1590" s="96"/>
      <c r="R1590" s="96"/>
      <c r="S1590" s="96"/>
      <c r="T1590" s="96"/>
      <c r="U1590" s="96"/>
      <c r="V1590" s="96"/>
      <c r="W1590" s="96"/>
      <c r="X1590" s="96"/>
      <c r="Y1590" s="96"/>
      <c r="Z1590" s="96"/>
    </row>
    <row r="1591" spans="1:26" s="9" customFormat="1" ht="15.75">
      <c r="A1591" s="254" t="s">
        <v>560</v>
      </c>
      <c r="B1591" s="81">
        <v>1</v>
      </c>
      <c r="C1591" s="288">
        <v>1</v>
      </c>
      <c r="D1591" s="288">
        <v>1</v>
      </c>
      <c r="E1591" s="288">
        <v>1</v>
      </c>
      <c r="F1591" s="288">
        <v>2</v>
      </c>
      <c r="G1591" s="288">
        <v>1</v>
      </c>
      <c r="H1591" s="81">
        <v>1</v>
      </c>
      <c r="I1591" s="81">
        <v>1</v>
      </c>
      <c r="J1591" s="81">
        <v>1</v>
      </c>
      <c r="K1591" s="81">
        <v>1</v>
      </c>
      <c r="L1591" s="81">
        <v>1</v>
      </c>
      <c r="M1591" s="81">
        <v>1</v>
      </c>
      <c r="N1591" s="133">
        <f t="shared" si="2306"/>
        <v>13</v>
      </c>
      <c r="O1591" s="19">
        <f t="shared" si="2307"/>
        <v>1.0833333333333333</v>
      </c>
      <c r="P1591" s="96"/>
      <c r="Q1591" s="96"/>
      <c r="R1591" s="96"/>
      <c r="S1591" s="96"/>
      <c r="T1591" s="96"/>
      <c r="U1591" s="96"/>
      <c r="V1591" s="96"/>
      <c r="W1591" s="96"/>
      <c r="X1591" s="96"/>
      <c r="Y1591" s="96"/>
      <c r="Z1591" s="96"/>
    </row>
    <row r="1592" spans="1:26" s="9" customFormat="1" ht="15.75">
      <c r="A1592" s="254" t="s">
        <v>561</v>
      </c>
      <c r="B1592" s="81">
        <v>4</v>
      </c>
      <c r="C1592" s="288">
        <v>4</v>
      </c>
      <c r="D1592" s="288">
        <v>4</v>
      </c>
      <c r="E1592" s="288">
        <v>4</v>
      </c>
      <c r="F1592" s="288">
        <v>4</v>
      </c>
      <c r="G1592" s="288">
        <v>4</v>
      </c>
      <c r="H1592" s="81">
        <v>4</v>
      </c>
      <c r="I1592" s="81">
        <v>4</v>
      </c>
      <c r="J1592" s="81">
        <v>4</v>
      </c>
      <c r="K1592" s="81">
        <v>4</v>
      </c>
      <c r="L1592" s="81">
        <v>4</v>
      </c>
      <c r="M1592" s="81">
        <v>4</v>
      </c>
      <c r="N1592" s="133">
        <f t="shared" si="2306"/>
        <v>48</v>
      </c>
      <c r="O1592" s="19">
        <f t="shared" si="2307"/>
        <v>4</v>
      </c>
      <c r="P1592" s="96"/>
      <c r="Q1592" s="96"/>
      <c r="R1592" s="96"/>
      <c r="S1592" s="96"/>
      <c r="T1592" s="96"/>
      <c r="U1592" s="96"/>
      <c r="V1592" s="96"/>
      <c r="W1592" s="96"/>
      <c r="X1592" s="96"/>
      <c r="Y1592" s="96"/>
      <c r="Z1592" s="96"/>
    </row>
    <row r="1593" spans="1:26" s="9" customFormat="1" ht="15.75">
      <c r="A1593" s="254" t="s">
        <v>340</v>
      </c>
      <c r="B1593" s="81">
        <v>2</v>
      </c>
      <c r="C1593" s="288">
        <v>2</v>
      </c>
      <c r="D1593" s="288">
        <v>2</v>
      </c>
      <c r="E1593" s="288">
        <v>2</v>
      </c>
      <c r="F1593" s="288">
        <v>2</v>
      </c>
      <c r="G1593" s="288">
        <v>2</v>
      </c>
      <c r="H1593" s="81">
        <v>2</v>
      </c>
      <c r="I1593" s="81">
        <v>2</v>
      </c>
      <c r="J1593" s="81">
        <v>2</v>
      </c>
      <c r="K1593" s="81">
        <v>2</v>
      </c>
      <c r="L1593" s="81">
        <v>2</v>
      </c>
      <c r="M1593" s="81">
        <v>2</v>
      </c>
      <c r="N1593" s="133">
        <f t="shared" si="2306"/>
        <v>24</v>
      </c>
      <c r="O1593" s="19">
        <f t="shared" si="2307"/>
        <v>2</v>
      </c>
      <c r="P1593" s="96"/>
      <c r="Q1593" s="96"/>
      <c r="R1593" s="96"/>
      <c r="S1593" s="96"/>
      <c r="T1593" s="96"/>
      <c r="U1593" s="96"/>
      <c r="V1593" s="96"/>
      <c r="W1593" s="96"/>
      <c r="X1593" s="96"/>
      <c r="Y1593" s="96"/>
      <c r="Z1593" s="96"/>
    </row>
    <row r="1594" spans="1:26" s="9" customFormat="1" ht="15.75">
      <c r="A1594" s="254" t="s">
        <v>241</v>
      </c>
      <c r="B1594" s="81">
        <v>2</v>
      </c>
      <c r="C1594" s="288">
        <v>2</v>
      </c>
      <c r="D1594" s="288">
        <v>2</v>
      </c>
      <c r="E1594" s="288">
        <v>2</v>
      </c>
      <c r="F1594" s="288">
        <v>2</v>
      </c>
      <c r="G1594" s="288">
        <v>2</v>
      </c>
      <c r="H1594" s="81">
        <v>2</v>
      </c>
      <c r="I1594" s="81">
        <v>2</v>
      </c>
      <c r="J1594" s="81">
        <v>2</v>
      </c>
      <c r="K1594" s="81">
        <v>2</v>
      </c>
      <c r="L1594" s="81">
        <v>2</v>
      </c>
      <c r="M1594" s="81">
        <v>2</v>
      </c>
      <c r="N1594" s="133">
        <f t="shared" si="2306"/>
        <v>24</v>
      </c>
      <c r="O1594" s="19">
        <f t="shared" si="2307"/>
        <v>2</v>
      </c>
      <c r="P1594" s="96"/>
      <c r="Q1594" s="96"/>
      <c r="R1594" s="96"/>
      <c r="S1594" s="96"/>
      <c r="T1594" s="96"/>
      <c r="U1594" s="96"/>
      <c r="V1594" s="96"/>
      <c r="W1594" s="96"/>
      <c r="X1594" s="96"/>
      <c r="Y1594" s="96"/>
      <c r="Z1594" s="96"/>
    </row>
    <row r="1595" spans="1:26" s="9" customFormat="1" ht="15.75">
      <c r="A1595" s="254" t="s">
        <v>244</v>
      </c>
      <c r="B1595" s="81">
        <v>25</v>
      </c>
      <c r="C1595" s="288">
        <v>25</v>
      </c>
      <c r="D1595" s="288">
        <v>25</v>
      </c>
      <c r="E1595" s="288">
        <v>24</v>
      </c>
      <c r="F1595" s="288">
        <v>23</v>
      </c>
      <c r="G1595" s="288">
        <v>24</v>
      </c>
      <c r="H1595" s="81">
        <v>24</v>
      </c>
      <c r="I1595" s="81">
        <v>24</v>
      </c>
      <c r="J1595" s="81">
        <v>24</v>
      </c>
      <c r="K1595" s="81">
        <v>24</v>
      </c>
      <c r="L1595" s="81">
        <v>26</v>
      </c>
      <c r="M1595" s="81">
        <v>27</v>
      </c>
      <c r="N1595" s="133">
        <f t="shared" si="2306"/>
        <v>295</v>
      </c>
      <c r="O1595" s="19">
        <f t="shared" si="2307"/>
        <v>24.583333333333332</v>
      </c>
      <c r="P1595" s="96"/>
      <c r="Q1595" s="96"/>
      <c r="R1595" s="96"/>
      <c r="S1595" s="96"/>
      <c r="T1595" s="96"/>
      <c r="U1595" s="96"/>
      <c r="V1595" s="96"/>
      <c r="W1595" s="96"/>
      <c r="X1595" s="96"/>
      <c r="Y1595" s="96"/>
      <c r="Z1595" s="96"/>
    </row>
    <row r="1596" spans="1:26" s="9" customFormat="1" ht="15.75">
      <c r="A1596" s="254" t="s">
        <v>229</v>
      </c>
      <c r="B1596" s="81">
        <v>20</v>
      </c>
      <c r="C1596" s="288">
        <v>20</v>
      </c>
      <c r="D1596" s="288">
        <v>20</v>
      </c>
      <c r="E1596" s="288">
        <v>20</v>
      </c>
      <c r="F1596" s="288">
        <v>21</v>
      </c>
      <c r="G1596" s="288">
        <v>21</v>
      </c>
      <c r="H1596" s="81">
        <v>22</v>
      </c>
      <c r="I1596" s="81">
        <v>22</v>
      </c>
      <c r="J1596" s="81">
        <v>21</v>
      </c>
      <c r="K1596" s="81">
        <v>21</v>
      </c>
      <c r="L1596" s="81">
        <v>21</v>
      </c>
      <c r="M1596" s="81">
        <v>21</v>
      </c>
      <c r="N1596" s="133">
        <f t="shared" si="2306"/>
        <v>250</v>
      </c>
      <c r="O1596" s="19">
        <f t="shared" si="2307"/>
        <v>20.833333333333332</v>
      </c>
      <c r="P1596" s="96"/>
      <c r="Q1596" s="96"/>
      <c r="R1596" s="96"/>
      <c r="S1596" s="96"/>
      <c r="T1596" s="96"/>
      <c r="U1596" s="96"/>
      <c r="V1596" s="96"/>
      <c r="W1596" s="96"/>
      <c r="X1596" s="96"/>
      <c r="Y1596" s="96"/>
      <c r="Z1596" s="96"/>
    </row>
    <row r="1597" spans="1:26" s="9" customFormat="1" ht="15.75">
      <c r="A1597" s="254" t="s">
        <v>238</v>
      </c>
      <c r="B1597" s="81">
        <v>2</v>
      </c>
      <c r="C1597" s="288">
        <v>2</v>
      </c>
      <c r="D1597" s="288">
        <v>2</v>
      </c>
      <c r="E1597" s="288">
        <v>2</v>
      </c>
      <c r="F1597" s="288">
        <v>2</v>
      </c>
      <c r="G1597" s="288">
        <v>2</v>
      </c>
      <c r="H1597" s="81">
        <v>2</v>
      </c>
      <c r="I1597" s="81">
        <v>2</v>
      </c>
      <c r="J1597" s="81">
        <v>2</v>
      </c>
      <c r="K1597" s="81">
        <v>2</v>
      </c>
      <c r="L1597" s="81">
        <v>2</v>
      </c>
      <c r="M1597" s="81">
        <v>2</v>
      </c>
      <c r="N1597" s="133">
        <f t="shared" si="2306"/>
        <v>24</v>
      </c>
      <c r="O1597" s="19">
        <f t="shared" si="2307"/>
        <v>2</v>
      </c>
      <c r="P1597" s="96"/>
      <c r="Q1597" s="96"/>
      <c r="R1597" s="96"/>
      <c r="S1597" s="96"/>
      <c r="T1597" s="96"/>
      <c r="U1597" s="96"/>
      <c r="V1597" s="96"/>
      <c r="W1597" s="96"/>
      <c r="X1597" s="96"/>
      <c r="Y1597" s="96"/>
      <c r="Z1597" s="96"/>
    </row>
    <row r="1598" spans="1:26" s="9" customFormat="1" ht="15.75">
      <c r="A1598" s="254" t="s">
        <v>230</v>
      </c>
      <c r="B1598" s="81">
        <v>2</v>
      </c>
      <c r="C1598" s="288">
        <v>1</v>
      </c>
      <c r="D1598" s="288">
        <v>1</v>
      </c>
      <c r="E1598" s="288">
        <v>1</v>
      </c>
      <c r="F1598" s="288">
        <v>1</v>
      </c>
      <c r="G1598" s="288">
        <v>1</v>
      </c>
      <c r="H1598" s="81">
        <v>1</v>
      </c>
      <c r="I1598" s="81">
        <v>1</v>
      </c>
      <c r="J1598" s="81">
        <v>1</v>
      </c>
      <c r="K1598" s="81">
        <v>1</v>
      </c>
      <c r="L1598" s="81">
        <v>1</v>
      </c>
      <c r="M1598" s="81">
        <v>1</v>
      </c>
      <c r="N1598" s="133">
        <f t="shared" si="2306"/>
        <v>13</v>
      </c>
      <c r="O1598" s="19">
        <f t="shared" si="2307"/>
        <v>1.0833333333333333</v>
      </c>
      <c r="P1598" s="96"/>
      <c r="Q1598" s="96"/>
      <c r="R1598" s="96"/>
      <c r="S1598" s="96"/>
      <c r="T1598" s="96"/>
      <c r="U1598" s="96"/>
      <c r="V1598" s="96"/>
      <c r="W1598" s="96"/>
      <c r="X1598" s="96"/>
      <c r="Y1598" s="96"/>
      <c r="Z1598" s="96"/>
    </row>
    <row r="1599" spans="1:26" s="9" customFormat="1" ht="15.75">
      <c r="A1599" s="254" t="s">
        <v>549</v>
      </c>
      <c r="B1599" s="81">
        <v>1</v>
      </c>
      <c r="C1599" s="288">
        <v>1</v>
      </c>
      <c r="D1599" s="288">
        <v>1</v>
      </c>
      <c r="E1599" s="288">
        <v>1</v>
      </c>
      <c r="F1599" s="288">
        <v>1</v>
      </c>
      <c r="G1599" s="288">
        <v>1</v>
      </c>
      <c r="H1599" s="81">
        <v>1</v>
      </c>
      <c r="I1599" s="81">
        <v>1</v>
      </c>
      <c r="J1599" s="81">
        <v>1</v>
      </c>
      <c r="K1599" s="81">
        <v>1</v>
      </c>
      <c r="L1599" s="81">
        <v>2</v>
      </c>
      <c r="M1599" s="81">
        <v>2</v>
      </c>
      <c r="N1599" s="133">
        <f t="shared" si="2306"/>
        <v>14</v>
      </c>
      <c r="O1599" s="19">
        <f t="shared" si="2307"/>
        <v>1.1666666666666667</v>
      </c>
      <c r="P1599" s="96"/>
      <c r="Q1599" s="96"/>
      <c r="R1599" s="96"/>
      <c r="S1599" s="96"/>
      <c r="T1599" s="96"/>
      <c r="U1599" s="96"/>
      <c r="V1599" s="96"/>
      <c r="W1599" s="96"/>
      <c r="X1599" s="96"/>
      <c r="Y1599" s="96"/>
      <c r="Z1599" s="96"/>
    </row>
    <row r="1600" spans="1:26" s="9" customFormat="1" ht="15.75">
      <c r="A1600" s="254" t="s">
        <v>180</v>
      </c>
      <c r="B1600" s="81">
        <v>14</v>
      </c>
      <c r="C1600" s="288">
        <v>14</v>
      </c>
      <c r="D1600" s="288">
        <v>14</v>
      </c>
      <c r="E1600" s="288">
        <v>14</v>
      </c>
      <c r="F1600" s="288">
        <v>14</v>
      </c>
      <c r="G1600" s="288">
        <v>14</v>
      </c>
      <c r="H1600" s="81">
        <v>13</v>
      </c>
      <c r="I1600" s="81">
        <v>15</v>
      </c>
      <c r="J1600" s="81">
        <v>14</v>
      </c>
      <c r="K1600" s="81">
        <v>14</v>
      </c>
      <c r="L1600" s="81">
        <v>14</v>
      </c>
      <c r="M1600" s="81">
        <v>14</v>
      </c>
      <c r="N1600" s="133">
        <f t="shared" si="2306"/>
        <v>168</v>
      </c>
      <c r="O1600" s="19">
        <f t="shared" si="2307"/>
        <v>14</v>
      </c>
      <c r="P1600" s="96"/>
      <c r="Q1600" s="96"/>
      <c r="R1600" s="96"/>
      <c r="S1600" s="96"/>
      <c r="T1600" s="96"/>
      <c r="U1600" s="96"/>
      <c r="V1600" s="96"/>
      <c r="W1600" s="96"/>
      <c r="X1600" s="96"/>
      <c r="Y1600" s="96"/>
      <c r="Z1600" s="96"/>
    </row>
    <row r="1601" spans="1:26" s="9" customFormat="1" ht="15.75">
      <c r="A1601" s="254" t="s">
        <v>217</v>
      </c>
      <c r="B1601" s="81">
        <v>9</v>
      </c>
      <c r="C1601" s="288">
        <v>9</v>
      </c>
      <c r="D1601" s="288">
        <v>9</v>
      </c>
      <c r="E1601" s="288">
        <v>9</v>
      </c>
      <c r="F1601" s="288">
        <v>9</v>
      </c>
      <c r="G1601" s="288">
        <v>9</v>
      </c>
      <c r="H1601" s="81">
        <v>9</v>
      </c>
      <c r="I1601" s="81">
        <v>9</v>
      </c>
      <c r="J1601" s="81">
        <v>9</v>
      </c>
      <c r="K1601" s="81">
        <v>9</v>
      </c>
      <c r="L1601" s="81">
        <v>9</v>
      </c>
      <c r="M1601" s="81">
        <v>8</v>
      </c>
      <c r="N1601" s="133">
        <f t="shared" si="2306"/>
        <v>107</v>
      </c>
      <c r="O1601" s="19">
        <f t="shared" si="2307"/>
        <v>8.9166666666666661</v>
      </c>
      <c r="P1601" s="96"/>
      <c r="Q1601" s="96"/>
      <c r="R1601" s="96"/>
      <c r="S1601" s="96"/>
      <c r="T1601" s="96"/>
      <c r="U1601" s="96"/>
      <c r="V1601" s="96"/>
      <c r="W1601" s="96"/>
      <c r="X1601" s="96"/>
      <c r="Y1601" s="96"/>
      <c r="Z1601" s="96"/>
    </row>
    <row r="1602" spans="1:26" s="9" customFormat="1" ht="15.75">
      <c r="A1602" s="254" t="s">
        <v>559</v>
      </c>
      <c r="B1602" s="81">
        <v>4</v>
      </c>
      <c r="C1602" s="288">
        <v>4</v>
      </c>
      <c r="D1602" s="288">
        <v>4</v>
      </c>
      <c r="E1602" s="288">
        <v>4</v>
      </c>
      <c r="F1602" s="288">
        <v>4</v>
      </c>
      <c r="G1602" s="288">
        <v>4</v>
      </c>
      <c r="H1602" s="81">
        <v>4</v>
      </c>
      <c r="I1602" s="81">
        <v>4</v>
      </c>
      <c r="J1602" s="81">
        <v>4</v>
      </c>
      <c r="K1602" s="81">
        <v>4</v>
      </c>
      <c r="L1602" s="81">
        <v>4</v>
      </c>
      <c r="M1602" s="81">
        <v>4</v>
      </c>
      <c r="N1602" s="133">
        <f>SUM(B1602:M1602)</f>
        <v>48</v>
      </c>
      <c r="O1602" s="19">
        <f>IF(N1602=0,0,AVERAGE(B1602:M1602))</f>
        <v>4</v>
      </c>
      <c r="P1602" s="96"/>
      <c r="Q1602" s="96"/>
      <c r="R1602" s="96"/>
      <c r="S1602" s="96"/>
      <c r="T1602" s="96"/>
      <c r="U1602" s="96"/>
      <c r="V1602" s="96"/>
      <c r="W1602" s="96"/>
      <c r="X1602" s="96"/>
      <c r="Y1602" s="96"/>
      <c r="Z1602" s="96"/>
    </row>
    <row r="1603" spans="1:26" s="9" customFormat="1" ht="15.75">
      <c r="A1603" s="254" t="s">
        <v>334</v>
      </c>
      <c r="B1603" s="81">
        <v>2</v>
      </c>
      <c r="C1603" s="288">
        <v>2</v>
      </c>
      <c r="D1603" s="288">
        <v>2</v>
      </c>
      <c r="E1603" s="288">
        <v>2</v>
      </c>
      <c r="F1603" s="288">
        <v>2</v>
      </c>
      <c r="G1603" s="288">
        <v>2</v>
      </c>
      <c r="H1603" s="81">
        <v>2</v>
      </c>
      <c r="I1603" s="81">
        <v>2</v>
      </c>
      <c r="J1603" s="81">
        <v>2</v>
      </c>
      <c r="K1603" s="81">
        <v>2</v>
      </c>
      <c r="L1603" s="81">
        <v>2</v>
      </c>
      <c r="M1603" s="81">
        <v>2</v>
      </c>
      <c r="N1603" s="133">
        <f t="shared" si="2306"/>
        <v>24</v>
      </c>
      <c r="O1603" s="19">
        <f t="shared" si="2307"/>
        <v>2</v>
      </c>
      <c r="P1603" s="96"/>
      <c r="Q1603" s="96"/>
      <c r="R1603" s="96"/>
      <c r="S1603" s="96"/>
      <c r="T1603" s="96"/>
      <c r="U1603" s="96"/>
      <c r="V1603" s="96"/>
      <c r="W1603" s="96"/>
      <c r="X1603" s="96"/>
      <c r="Y1603" s="96"/>
      <c r="Z1603" s="96"/>
    </row>
    <row r="1604" spans="1:26" s="9" customFormat="1" ht="30">
      <c r="A1604" s="212" t="s">
        <v>341</v>
      </c>
      <c r="B1604" s="81">
        <v>3</v>
      </c>
      <c r="C1604" s="288">
        <v>3</v>
      </c>
      <c r="D1604" s="288">
        <v>3</v>
      </c>
      <c r="E1604" s="288">
        <v>2</v>
      </c>
      <c r="F1604" s="288">
        <v>2</v>
      </c>
      <c r="G1604" s="288">
        <v>2</v>
      </c>
      <c r="H1604" s="81">
        <v>2</v>
      </c>
      <c r="I1604" s="81">
        <v>2</v>
      </c>
      <c r="J1604" s="81">
        <v>2</v>
      </c>
      <c r="K1604" s="81">
        <v>2</v>
      </c>
      <c r="L1604" s="81">
        <v>2</v>
      </c>
      <c r="M1604" s="81">
        <v>1</v>
      </c>
      <c r="N1604" s="133">
        <f t="shared" si="2306"/>
        <v>26</v>
      </c>
      <c r="O1604" s="19">
        <f t="shared" si="2307"/>
        <v>2.1666666666666665</v>
      </c>
      <c r="P1604" s="96"/>
      <c r="Q1604" s="96"/>
      <c r="R1604" s="96"/>
      <c r="S1604" s="96"/>
      <c r="T1604" s="96"/>
      <c r="U1604" s="96"/>
      <c r="V1604" s="96"/>
      <c r="W1604" s="96"/>
      <c r="X1604" s="96"/>
      <c r="Y1604" s="96"/>
      <c r="Z1604" s="96"/>
    </row>
    <row r="1605" spans="1:26" s="9" customFormat="1" ht="15.75">
      <c r="A1605" s="254" t="s">
        <v>232</v>
      </c>
      <c r="B1605" s="81">
        <v>1</v>
      </c>
      <c r="C1605" s="288">
        <v>1</v>
      </c>
      <c r="D1605" s="288">
        <v>1</v>
      </c>
      <c r="E1605" s="288">
        <v>1</v>
      </c>
      <c r="F1605" s="288">
        <v>2</v>
      </c>
      <c r="G1605" s="288">
        <v>1</v>
      </c>
      <c r="H1605" s="81">
        <v>1</v>
      </c>
      <c r="I1605" s="81">
        <v>1</v>
      </c>
      <c r="J1605" s="81">
        <v>1</v>
      </c>
      <c r="K1605" s="81">
        <v>1</v>
      </c>
      <c r="L1605" s="81">
        <v>1</v>
      </c>
      <c r="M1605" s="81">
        <v>1</v>
      </c>
      <c r="N1605" s="133">
        <f t="shared" si="2306"/>
        <v>13</v>
      </c>
      <c r="O1605" s="19">
        <f t="shared" si="2307"/>
        <v>1.0833333333333333</v>
      </c>
      <c r="P1605" s="96"/>
      <c r="Q1605" s="96"/>
      <c r="R1605" s="96"/>
      <c r="S1605" s="96"/>
      <c r="T1605" s="96"/>
      <c r="U1605" s="96"/>
      <c r="V1605" s="96"/>
      <c r="W1605" s="96"/>
      <c r="X1605" s="96"/>
      <c r="Y1605" s="96"/>
      <c r="Z1605" s="96"/>
    </row>
    <row r="1606" spans="1:26" s="9" customFormat="1" ht="15.75">
      <c r="A1606" s="254" t="s">
        <v>233</v>
      </c>
      <c r="B1606" s="81">
        <v>8</v>
      </c>
      <c r="C1606" s="288">
        <v>8</v>
      </c>
      <c r="D1606" s="288">
        <v>8</v>
      </c>
      <c r="E1606" s="288">
        <v>8</v>
      </c>
      <c r="F1606" s="288">
        <v>7</v>
      </c>
      <c r="G1606" s="288">
        <v>8</v>
      </c>
      <c r="H1606" s="81">
        <v>8</v>
      </c>
      <c r="I1606" s="81">
        <v>8</v>
      </c>
      <c r="J1606" s="81">
        <v>8</v>
      </c>
      <c r="K1606" s="81">
        <v>8</v>
      </c>
      <c r="L1606" s="81">
        <v>8</v>
      </c>
      <c r="M1606" s="81">
        <v>8</v>
      </c>
      <c r="N1606" s="133">
        <f t="shared" si="2306"/>
        <v>95</v>
      </c>
      <c r="O1606" s="19">
        <f t="shared" si="2307"/>
        <v>7.916666666666667</v>
      </c>
      <c r="P1606" s="96"/>
      <c r="Q1606" s="96"/>
      <c r="R1606" s="96"/>
      <c r="S1606" s="96"/>
      <c r="T1606" s="96"/>
      <c r="U1606" s="96"/>
      <c r="V1606" s="96"/>
      <c r="W1606" s="96"/>
      <c r="X1606" s="96"/>
      <c r="Y1606" s="96"/>
      <c r="Z1606" s="96"/>
    </row>
    <row r="1607" spans="1:26" s="9" customFormat="1" ht="15.75">
      <c r="A1607" s="254" t="s">
        <v>127</v>
      </c>
      <c r="B1607" s="81">
        <v>2</v>
      </c>
      <c r="C1607" s="288">
        <v>3</v>
      </c>
      <c r="D1607" s="288">
        <v>3</v>
      </c>
      <c r="E1607" s="288">
        <v>3</v>
      </c>
      <c r="F1607" s="288">
        <v>3</v>
      </c>
      <c r="G1607" s="288">
        <v>3</v>
      </c>
      <c r="H1607" s="81">
        <v>3</v>
      </c>
      <c r="I1607" s="81">
        <v>3</v>
      </c>
      <c r="J1607" s="81">
        <v>3</v>
      </c>
      <c r="K1607" s="81">
        <v>3</v>
      </c>
      <c r="L1607" s="81">
        <v>3</v>
      </c>
      <c r="M1607" s="81">
        <v>3</v>
      </c>
      <c r="N1607" s="133">
        <f t="shared" si="2306"/>
        <v>35</v>
      </c>
      <c r="O1607" s="19">
        <f t="shared" si="2307"/>
        <v>2.9166666666666665</v>
      </c>
      <c r="P1607" s="96"/>
      <c r="Q1607" s="96"/>
      <c r="R1607" s="96"/>
      <c r="S1607" s="96"/>
      <c r="T1607" s="96"/>
      <c r="U1607" s="96"/>
      <c r="V1607" s="96"/>
      <c r="W1607" s="96"/>
      <c r="X1607" s="96"/>
      <c r="Y1607" s="96"/>
      <c r="Z1607" s="96"/>
    </row>
    <row r="1608" spans="1:26" s="9" customFormat="1" ht="15.75">
      <c r="A1608" s="254" t="s">
        <v>345</v>
      </c>
      <c r="B1608" s="81">
        <v>4</v>
      </c>
      <c r="C1608" s="288">
        <v>4</v>
      </c>
      <c r="D1608" s="288">
        <v>4</v>
      </c>
      <c r="E1608" s="288">
        <v>4</v>
      </c>
      <c r="F1608" s="288">
        <v>4</v>
      </c>
      <c r="G1608" s="288">
        <v>4</v>
      </c>
      <c r="H1608" s="81">
        <v>4</v>
      </c>
      <c r="I1608" s="81">
        <v>5</v>
      </c>
      <c r="J1608" s="81">
        <v>5</v>
      </c>
      <c r="K1608" s="81">
        <v>5</v>
      </c>
      <c r="L1608" s="81">
        <v>5</v>
      </c>
      <c r="M1608" s="81">
        <v>4</v>
      </c>
      <c r="N1608" s="133">
        <f t="shared" si="2306"/>
        <v>52</v>
      </c>
      <c r="O1608" s="19">
        <f t="shared" si="2307"/>
        <v>4.333333333333333</v>
      </c>
      <c r="P1608" s="96"/>
      <c r="Q1608" s="96"/>
      <c r="R1608" s="96"/>
      <c r="S1608" s="96"/>
      <c r="T1608" s="96"/>
      <c r="U1608" s="96"/>
      <c r="V1608" s="96"/>
      <c r="W1608" s="96"/>
      <c r="X1608" s="96"/>
      <c r="Y1608" s="96"/>
      <c r="Z1608" s="96"/>
    </row>
    <row r="1609" spans="1:26" s="9" customFormat="1" ht="15.75">
      <c r="A1609" s="254" t="s">
        <v>240</v>
      </c>
      <c r="B1609" s="81">
        <v>9</v>
      </c>
      <c r="C1609" s="288">
        <v>9</v>
      </c>
      <c r="D1609" s="288">
        <v>9</v>
      </c>
      <c r="E1609" s="288">
        <v>9</v>
      </c>
      <c r="F1609" s="288">
        <v>9</v>
      </c>
      <c r="G1609" s="288">
        <v>9</v>
      </c>
      <c r="H1609" s="81">
        <v>8</v>
      </c>
      <c r="I1609" s="81">
        <v>9</v>
      </c>
      <c r="J1609" s="81">
        <v>10</v>
      </c>
      <c r="K1609" s="81">
        <v>10</v>
      </c>
      <c r="L1609" s="81">
        <v>10</v>
      </c>
      <c r="M1609" s="81">
        <v>10</v>
      </c>
      <c r="N1609" s="133">
        <f t="shared" si="2306"/>
        <v>111</v>
      </c>
      <c r="O1609" s="19">
        <f t="shared" si="2307"/>
        <v>9.25</v>
      </c>
      <c r="P1609" s="96"/>
      <c r="Q1609" s="96"/>
      <c r="R1609" s="96"/>
      <c r="S1609" s="96"/>
      <c r="T1609" s="96"/>
      <c r="U1609" s="96"/>
      <c r="V1609" s="96"/>
      <c r="W1609" s="96"/>
      <c r="X1609" s="96"/>
      <c r="Y1609" s="96"/>
      <c r="Z1609" s="96"/>
    </row>
    <row r="1610" spans="1:26" s="9" customFormat="1" ht="15.75">
      <c r="A1610" s="254" t="s">
        <v>342</v>
      </c>
      <c r="B1610" s="81">
        <v>2</v>
      </c>
      <c r="C1610" s="288">
        <v>2</v>
      </c>
      <c r="D1610" s="288">
        <v>2</v>
      </c>
      <c r="E1610" s="288">
        <v>2</v>
      </c>
      <c r="F1610" s="288">
        <v>2</v>
      </c>
      <c r="G1610" s="288">
        <v>2</v>
      </c>
      <c r="H1610" s="81">
        <v>2</v>
      </c>
      <c r="I1610" s="81">
        <v>2</v>
      </c>
      <c r="J1610" s="81">
        <v>2</v>
      </c>
      <c r="K1610" s="81">
        <v>2</v>
      </c>
      <c r="L1610" s="81">
        <v>2</v>
      </c>
      <c r="M1610" s="81">
        <v>2</v>
      </c>
      <c r="N1610" s="133">
        <f t="shared" si="2306"/>
        <v>24</v>
      </c>
      <c r="O1610" s="19">
        <f t="shared" si="2307"/>
        <v>2</v>
      </c>
      <c r="P1610" s="96"/>
      <c r="Q1610" s="96"/>
      <c r="R1610" s="96"/>
      <c r="S1610" s="96"/>
      <c r="T1610" s="96"/>
      <c r="U1610" s="96"/>
      <c r="V1610" s="96"/>
      <c r="W1610" s="96"/>
      <c r="X1610" s="96"/>
      <c r="Y1610" s="96"/>
      <c r="Z1610" s="96"/>
    </row>
    <row r="1611" spans="1:26" s="9" customFormat="1" ht="30">
      <c r="A1611" s="212" t="s">
        <v>336</v>
      </c>
      <c r="B1611" s="81">
        <v>1</v>
      </c>
      <c r="C1611" s="288">
        <v>1</v>
      </c>
      <c r="D1611" s="288">
        <v>1</v>
      </c>
      <c r="E1611" s="288">
        <v>1</v>
      </c>
      <c r="F1611" s="288">
        <v>1</v>
      </c>
      <c r="G1611" s="288">
        <v>1</v>
      </c>
      <c r="H1611" s="81">
        <v>1</v>
      </c>
      <c r="I1611" s="81">
        <v>1</v>
      </c>
      <c r="J1611" s="81">
        <v>1</v>
      </c>
      <c r="K1611" s="81">
        <v>1</v>
      </c>
      <c r="L1611" s="81">
        <v>1</v>
      </c>
      <c r="M1611" s="81">
        <v>1</v>
      </c>
      <c r="N1611" s="133">
        <f t="shared" si="2306"/>
        <v>12</v>
      </c>
      <c r="O1611" s="19">
        <f t="shared" si="2307"/>
        <v>1</v>
      </c>
      <c r="P1611" s="96"/>
      <c r="Q1611" s="96"/>
      <c r="R1611" s="96"/>
      <c r="S1611" s="96"/>
      <c r="T1611" s="96"/>
      <c r="U1611" s="96"/>
      <c r="V1611" s="96"/>
      <c r="W1611" s="96"/>
      <c r="X1611" s="96"/>
      <c r="Y1611" s="96"/>
      <c r="Z1611" s="96"/>
    </row>
    <row r="1612" spans="1:26" s="9" customFormat="1" ht="30">
      <c r="A1612" s="212" t="s">
        <v>323</v>
      </c>
      <c r="B1612" s="81">
        <v>2</v>
      </c>
      <c r="C1612" s="288">
        <v>2</v>
      </c>
      <c r="D1612" s="288">
        <v>2</v>
      </c>
      <c r="E1612" s="288">
        <v>2</v>
      </c>
      <c r="F1612" s="288">
        <v>2</v>
      </c>
      <c r="G1612" s="288">
        <v>2</v>
      </c>
      <c r="H1612" s="81">
        <v>2</v>
      </c>
      <c r="I1612" s="81">
        <v>2</v>
      </c>
      <c r="J1612" s="81">
        <v>2</v>
      </c>
      <c r="K1612" s="81">
        <v>2</v>
      </c>
      <c r="L1612" s="81">
        <v>2</v>
      </c>
      <c r="M1612" s="81">
        <v>2</v>
      </c>
      <c r="N1612" s="133">
        <f t="shared" si="2306"/>
        <v>24</v>
      </c>
      <c r="O1612" s="19">
        <f t="shared" si="2307"/>
        <v>2</v>
      </c>
      <c r="P1612" s="96"/>
      <c r="Q1612" s="96"/>
      <c r="R1612" s="96"/>
      <c r="S1612" s="96"/>
      <c r="T1612" s="96"/>
      <c r="U1612" s="96"/>
      <c r="V1612" s="96"/>
      <c r="W1612" s="96"/>
      <c r="X1612" s="96"/>
      <c r="Y1612" s="96"/>
      <c r="Z1612" s="96"/>
    </row>
    <row r="1613" spans="1:26" s="9" customFormat="1" ht="15.75">
      <c r="A1613" s="254" t="s">
        <v>242</v>
      </c>
      <c r="B1613" s="81">
        <v>2</v>
      </c>
      <c r="C1613" s="288">
        <v>2</v>
      </c>
      <c r="D1613" s="288">
        <v>2</v>
      </c>
      <c r="E1613" s="288">
        <v>2</v>
      </c>
      <c r="F1613" s="288">
        <v>2</v>
      </c>
      <c r="G1613" s="288">
        <v>2</v>
      </c>
      <c r="H1613" s="81">
        <v>2</v>
      </c>
      <c r="I1613" s="81">
        <v>2</v>
      </c>
      <c r="J1613" s="81">
        <v>2</v>
      </c>
      <c r="K1613" s="81">
        <v>2</v>
      </c>
      <c r="L1613" s="81">
        <v>2</v>
      </c>
      <c r="M1613" s="81">
        <v>2</v>
      </c>
      <c r="N1613" s="133">
        <f t="shared" si="2306"/>
        <v>24</v>
      </c>
      <c r="O1613" s="19">
        <f t="shared" si="2307"/>
        <v>2</v>
      </c>
      <c r="P1613" s="96"/>
      <c r="Q1613" s="96"/>
      <c r="R1613" s="96"/>
      <c r="S1613" s="96"/>
      <c r="T1613" s="96"/>
      <c r="U1613" s="96"/>
      <c r="V1613" s="96"/>
      <c r="W1613" s="96"/>
      <c r="X1613" s="96"/>
      <c r="Y1613" s="96"/>
      <c r="Z1613" s="96"/>
    </row>
    <row r="1614" spans="1:26" s="9" customFormat="1" ht="45">
      <c r="A1614" s="212" t="s">
        <v>346</v>
      </c>
      <c r="B1614" s="81">
        <v>2</v>
      </c>
      <c r="C1614" s="288">
        <v>2</v>
      </c>
      <c r="D1614" s="288">
        <v>2</v>
      </c>
      <c r="E1614" s="288">
        <v>2</v>
      </c>
      <c r="F1614" s="288">
        <v>2</v>
      </c>
      <c r="G1614" s="288">
        <v>2</v>
      </c>
      <c r="H1614" s="81">
        <v>2</v>
      </c>
      <c r="I1614" s="81">
        <v>2</v>
      </c>
      <c r="J1614" s="81">
        <v>2</v>
      </c>
      <c r="K1614" s="81">
        <v>2</v>
      </c>
      <c r="L1614" s="81">
        <v>2</v>
      </c>
      <c r="M1614" s="81">
        <v>2</v>
      </c>
      <c r="N1614" s="133">
        <f t="shared" si="2306"/>
        <v>24</v>
      </c>
      <c r="O1614" s="19">
        <f t="shared" si="2307"/>
        <v>2</v>
      </c>
      <c r="P1614" s="96"/>
      <c r="Q1614" s="96"/>
      <c r="R1614" s="96"/>
      <c r="S1614" s="96"/>
      <c r="T1614" s="96"/>
      <c r="U1614" s="96"/>
      <c r="V1614" s="96"/>
      <c r="W1614" s="96"/>
      <c r="X1614" s="96"/>
      <c r="Y1614" s="96"/>
      <c r="Z1614" s="96"/>
    </row>
    <row r="1615" spans="1:26" s="9" customFormat="1" ht="15.75">
      <c r="A1615" s="254" t="s">
        <v>338</v>
      </c>
      <c r="B1615" s="81">
        <v>40</v>
      </c>
      <c r="C1615" s="288">
        <v>41</v>
      </c>
      <c r="D1615" s="288">
        <v>41</v>
      </c>
      <c r="E1615" s="288">
        <v>40</v>
      </c>
      <c r="F1615" s="288">
        <v>42</v>
      </c>
      <c r="G1615" s="288">
        <v>42</v>
      </c>
      <c r="H1615" s="81">
        <v>42</v>
      </c>
      <c r="I1615" s="81">
        <v>42</v>
      </c>
      <c r="J1615" s="81">
        <v>42</v>
      </c>
      <c r="K1615" s="81">
        <v>42</v>
      </c>
      <c r="L1615" s="81">
        <v>42</v>
      </c>
      <c r="M1615" s="81">
        <v>42</v>
      </c>
      <c r="N1615" s="133">
        <f t="shared" si="2306"/>
        <v>498</v>
      </c>
      <c r="O1615" s="19">
        <f t="shared" si="2307"/>
        <v>41.5</v>
      </c>
      <c r="P1615" s="96"/>
      <c r="Q1615" s="96"/>
      <c r="R1615" s="96"/>
      <c r="S1615" s="96"/>
      <c r="T1615" s="96"/>
      <c r="U1615" s="96"/>
      <c r="V1615" s="96"/>
      <c r="W1615" s="96"/>
      <c r="X1615" s="96"/>
      <c r="Y1615" s="96"/>
      <c r="Z1615" s="96"/>
    </row>
    <row r="1616" spans="1:26" s="9" customFormat="1" ht="15.75">
      <c r="A1616" s="254" t="s">
        <v>335</v>
      </c>
      <c r="B1616" s="81">
        <v>24</v>
      </c>
      <c r="C1616" s="288">
        <v>24</v>
      </c>
      <c r="D1616" s="288">
        <v>24</v>
      </c>
      <c r="E1616" s="288">
        <v>24</v>
      </c>
      <c r="F1616" s="288">
        <v>23</v>
      </c>
      <c r="G1616" s="288">
        <v>25</v>
      </c>
      <c r="H1616" s="81">
        <v>25</v>
      </c>
      <c r="I1616" s="81">
        <v>25</v>
      </c>
      <c r="J1616" s="81">
        <v>25</v>
      </c>
      <c r="K1616" s="81">
        <v>25</v>
      </c>
      <c r="L1616" s="81">
        <v>25</v>
      </c>
      <c r="M1616" s="81">
        <v>25</v>
      </c>
      <c r="N1616" s="133">
        <f t="shared" si="2306"/>
        <v>294</v>
      </c>
      <c r="O1616" s="19">
        <f t="shared" si="2307"/>
        <v>24.5</v>
      </c>
      <c r="P1616" s="96"/>
      <c r="Q1616" s="96"/>
      <c r="R1616" s="96"/>
      <c r="S1616" s="96"/>
      <c r="T1616" s="96"/>
      <c r="U1616" s="96"/>
      <c r="V1616" s="96"/>
      <c r="W1616" s="96"/>
      <c r="X1616" s="96"/>
      <c r="Y1616" s="96"/>
      <c r="Z1616" s="96"/>
    </row>
    <row r="1617" spans="1:26" s="9" customFormat="1" ht="15.75">
      <c r="A1617" s="254" t="s">
        <v>337</v>
      </c>
      <c r="B1617" s="81">
        <v>6</v>
      </c>
      <c r="C1617" s="288">
        <v>6</v>
      </c>
      <c r="D1617" s="288">
        <v>6</v>
      </c>
      <c r="E1617" s="288">
        <v>6</v>
      </c>
      <c r="F1617" s="288">
        <v>6</v>
      </c>
      <c r="G1617" s="288">
        <v>6</v>
      </c>
      <c r="H1617" s="81">
        <v>6</v>
      </c>
      <c r="I1617" s="81">
        <v>6</v>
      </c>
      <c r="J1617" s="81">
        <v>6</v>
      </c>
      <c r="K1617" s="81">
        <v>6</v>
      </c>
      <c r="L1617" s="81">
        <v>6</v>
      </c>
      <c r="M1617" s="81">
        <v>6</v>
      </c>
      <c r="N1617" s="133">
        <f t="shared" si="2306"/>
        <v>72</v>
      </c>
      <c r="O1617" s="19">
        <f t="shared" si="2307"/>
        <v>6</v>
      </c>
      <c r="P1617" s="96"/>
      <c r="Q1617" s="96"/>
      <c r="R1617" s="96"/>
      <c r="S1617" s="96"/>
      <c r="T1617" s="96"/>
      <c r="U1617" s="96"/>
      <c r="V1617" s="96"/>
      <c r="W1617" s="96"/>
      <c r="X1617" s="96"/>
      <c r="Y1617" s="96"/>
      <c r="Z1617" s="96"/>
    </row>
    <row r="1618" spans="1:26" s="9" customFormat="1" ht="15.75">
      <c r="A1618" s="254" t="s">
        <v>390</v>
      </c>
      <c r="B1618" s="81">
        <v>109</v>
      </c>
      <c r="C1618" s="288">
        <v>109</v>
      </c>
      <c r="D1618" s="288">
        <v>108</v>
      </c>
      <c r="E1618" s="288">
        <v>107</v>
      </c>
      <c r="F1618" s="288">
        <v>107</v>
      </c>
      <c r="G1618" s="288">
        <v>109</v>
      </c>
      <c r="H1618" s="81">
        <v>108</v>
      </c>
      <c r="I1618" s="81">
        <v>110</v>
      </c>
      <c r="J1618" s="81">
        <v>111</v>
      </c>
      <c r="K1618" s="81">
        <v>110</v>
      </c>
      <c r="L1618" s="81">
        <v>110</v>
      </c>
      <c r="M1618" s="81">
        <v>111</v>
      </c>
      <c r="N1618" s="133">
        <f t="shared" si="2306"/>
        <v>1309</v>
      </c>
      <c r="O1618" s="19">
        <f t="shared" si="2307"/>
        <v>109.08333333333333</v>
      </c>
      <c r="P1618" s="96"/>
      <c r="Q1618" s="96"/>
      <c r="R1618" s="96"/>
      <c r="S1618" s="96"/>
      <c r="T1618" s="96"/>
      <c r="U1618" s="96"/>
      <c r="V1618" s="96"/>
      <c r="W1618" s="96"/>
      <c r="X1618" s="96"/>
      <c r="Y1618" s="96"/>
      <c r="Z1618" s="96"/>
    </row>
    <row r="1619" spans="1:26" s="9" customFormat="1" ht="15.75">
      <c r="A1619" s="254" t="s">
        <v>385</v>
      </c>
      <c r="B1619" s="81">
        <v>0</v>
      </c>
      <c r="C1619" s="288">
        <v>0</v>
      </c>
      <c r="D1619" s="288">
        <v>0</v>
      </c>
      <c r="E1619" s="288">
        <v>0</v>
      </c>
      <c r="F1619" s="288">
        <v>0</v>
      </c>
      <c r="G1619" s="288">
        <v>0</v>
      </c>
      <c r="H1619" s="288">
        <v>0</v>
      </c>
      <c r="I1619" s="288">
        <v>0</v>
      </c>
      <c r="J1619" s="81">
        <v>0</v>
      </c>
      <c r="K1619" s="81">
        <v>0</v>
      </c>
      <c r="L1619" s="81">
        <v>0</v>
      </c>
      <c r="M1619" s="81">
        <v>0</v>
      </c>
      <c r="N1619" s="133">
        <f t="shared" si="2306"/>
        <v>0</v>
      </c>
      <c r="O1619" s="19">
        <f t="shared" si="2307"/>
        <v>0</v>
      </c>
      <c r="P1619" s="96"/>
      <c r="Q1619" s="96"/>
      <c r="R1619" s="96"/>
      <c r="S1619" s="96"/>
      <c r="T1619" s="96"/>
      <c r="U1619" s="96"/>
      <c r="V1619" s="96"/>
      <c r="W1619" s="96"/>
      <c r="X1619" s="96"/>
      <c r="Y1619" s="96"/>
      <c r="Z1619" s="96"/>
    </row>
    <row r="1620" spans="1:26" s="9" customFormat="1" ht="15.75">
      <c r="A1620" s="254" t="s">
        <v>343</v>
      </c>
      <c r="B1620" s="81">
        <v>2</v>
      </c>
      <c r="C1620" s="288">
        <v>2</v>
      </c>
      <c r="D1620" s="288">
        <v>2</v>
      </c>
      <c r="E1620" s="288">
        <v>2</v>
      </c>
      <c r="F1620" s="288">
        <v>2</v>
      </c>
      <c r="G1620" s="288">
        <v>2</v>
      </c>
      <c r="H1620" s="81">
        <v>2</v>
      </c>
      <c r="I1620" s="81">
        <v>2</v>
      </c>
      <c r="J1620" s="81">
        <v>2</v>
      </c>
      <c r="K1620" s="81">
        <v>2</v>
      </c>
      <c r="L1620" s="81">
        <v>2</v>
      </c>
      <c r="M1620" s="81">
        <v>2</v>
      </c>
      <c r="N1620" s="133">
        <f t="shared" si="2306"/>
        <v>24</v>
      </c>
      <c r="O1620" s="19">
        <f t="shared" si="2307"/>
        <v>2</v>
      </c>
      <c r="P1620" s="96"/>
      <c r="Q1620" s="96"/>
      <c r="R1620" s="96"/>
      <c r="S1620" s="96"/>
      <c r="T1620" s="96"/>
      <c r="U1620" s="96"/>
      <c r="V1620" s="96"/>
      <c r="W1620" s="96"/>
      <c r="X1620" s="96"/>
      <c r="Y1620" s="96"/>
      <c r="Z1620" s="96"/>
    </row>
    <row r="1621" spans="1:26" s="9" customFormat="1" ht="15.75">
      <c r="A1621" s="74" t="s">
        <v>245</v>
      </c>
      <c r="B1621" s="21">
        <f t="shared" ref="B1621:C1621" si="2308">SUM(B1583:B1620)</f>
        <v>341</v>
      </c>
      <c r="C1621" s="21">
        <f t="shared" si="2308"/>
        <v>341</v>
      </c>
      <c r="D1621" s="21">
        <f t="shared" ref="D1621:E1621" si="2309">SUM(D1583:D1620)</f>
        <v>339</v>
      </c>
      <c r="E1621" s="21">
        <f t="shared" si="2309"/>
        <v>335</v>
      </c>
      <c r="F1621" s="21">
        <f t="shared" ref="F1621:H1621" si="2310">SUM(F1583:F1620)</f>
        <v>338</v>
      </c>
      <c r="G1621" s="21">
        <f t="shared" si="2310"/>
        <v>342</v>
      </c>
      <c r="H1621" s="21">
        <f t="shared" si="2310"/>
        <v>340</v>
      </c>
      <c r="I1621" s="21">
        <f t="shared" ref="I1621:J1621" si="2311">SUM(I1583:I1620)</f>
        <v>346</v>
      </c>
      <c r="J1621" s="21">
        <f t="shared" si="2311"/>
        <v>346</v>
      </c>
      <c r="K1621" s="21">
        <f t="shared" ref="K1621:L1621" si="2312">SUM(K1583:K1620)</f>
        <v>343</v>
      </c>
      <c r="L1621" s="21">
        <f t="shared" si="2312"/>
        <v>350</v>
      </c>
      <c r="M1621" s="21">
        <f t="shared" ref="M1621" si="2313">SUM(M1583:M1620)</f>
        <v>349</v>
      </c>
      <c r="N1621" s="128">
        <f>SUM(N1583:N1620)</f>
        <v>4110</v>
      </c>
      <c r="O1621" s="22">
        <f>SUM(O1583:O1620)</f>
        <v>342.5</v>
      </c>
      <c r="P1621" s="96"/>
      <c r="Q1621" s="96"/>
      <c r="R1621" s="96"/>
      <c r="S1621" s="96"/>
      <c r="T1621" s="96"/>
      <c r="U1621" s="96"/>
      <c r="V1621" s="96"/>
      <c r="W1621" s="96"/>
      <c r="X1621" s="96"/>
      <c r="Y1621" s="96"/>
      <c r="Z1621" s="96"/>
    </row>
    <row r="1622" spans="1:26" s="9" customFormat="1">
      <c r="A1622" s="23"/>
      <c r="B1622" s="24"/>
      <c r="C1622" s="24"/>
      <c r="D1622" s="24"/>
      <c r="E1622" s="24"/>
      <c r="F1622" s="24"/>
      <c r="G1622" s="25"/>
      <c r="H1622" s="25"/>
      <c r="I1622" s="25"/>
      <c r="J1622" s="25"/>
      <c r="K1622" s="25"/>
      <c r="L1622" s="25"/>
      <c r="M1622" s="25"/>
      <c r="N1622" s="134"/>
      <c r="O1622" s="13"/>
      <c r="P1622" s="96"/>
      <c r="Q1622" s="96"/>
      <c r="R1622" s="96"/>
      <c r="S1622" s="96"/>
      <c r="T1622" s="96"/>
      <c r="U1622" s="96"/>
      <c r="V1622" s="96"/>
      <c r="W1622" s="96"/>
      <c r="X1622" s="96"/>
      <c r="Y1622" s="96"/>
      <c r="Z1622" s="96"/>
    </row>
    <row r="1623" spans="1:26" s="9" customFormat="1" ht="15.75">
      <c r="A1623" s="34" t="s">
        <v>246</v>
      </c>
      <c r="B1623" s="18">
        <v>21</v>
      </c>
      <c r="C1623" s="18">
        <v>21</v>
      </c>
      <c r="D1623" s="18">
        <v>21</v>
      </c>
      <c r="E1623" s="18">
        <v>21</v>
      </c>
      <c r="F1623" s="18">
        <v>21</v>
      </c>
      <c r="G1623" s="18">
        <v>21</v>
      </c>
      <c r="H1623" s="18">
        <v>21</v>
      </c>
      <c r="I1623" s="18">
        <v>21</v>
      </c>
      <c r="J1623" s="18">
        <v>21</v>
      </c>
      <c r="K1623" s="18">
        <v>21</v>
      </c>
      <c r="L1623" s="18">
        <v>21</v>
      </c>
      <c r="M1623" s="18">
        <v>21</v>
      </c>
      <c r="N1623" s="133">
        <f>SUM(B1623:M1623)</f>
        <v>252</v>
      </c>
      <c r="O1623" s="19">
        <f>IF(N1623=0,0,AVERAGE(B1623:M1623))</f>
        <v>21</v>
      </c>
      <c r="P1623" s="96"/>
      <c r="Q1623" s="96"/>
      <c r="R1623" s="96"/>
      <c r="S1623" s="96"/>
      <c r="T1623" s="96"/>
      <c r="U1623" s="96"/>
      <c r="V1623" s="96"/>
      <c r="W1623" s="96"/>
      <c r="X1623" s="96"/>
      <c r="Y1623" s="96"/>
      <c r="Z1623" s="96"/>
    </row>
    <row r="1624" spans="1:26" s="9" customFormat="1" ht="15.75">
      <c r="A1624" s="56" t="s">
        <v>247</v>
      </c>
      <c r="B1624" s="21">
        <f t="shared" ref="B1624:C1624" si="2314">IF(B1623=0,"",B1623)</f>
        <v>21</v>
      </c>
      <c r="C1624" s="21">
        <f t="shared" si="2314"/>
        <v>21</v>
      </c>
      <c r="D1624" s="21">
        <f t="shared" ref="D1624:E1624" si="2315">IF(D1623=0,"",D1623)</f>
        <v>21</v>
      </c>
      <c r="E1624" s="21">
        <f t="shared" si="2315"/>
        <v>21</v>
      </c>
      <c r="F1624" s="21">
        <f t="shared" ref="F1624:G1624" si="2316">IF(F1623=0,"",F1623)</f>
        <v>21</v>
      </c>
      <c r="G1624" s="21">
        <f t="shared" si="2316"/>
        <v>21</v>
      </c>
      <c r="H1624" s="21">
        <f t="shared" ref="H1624:I1624" si="2317">IF(H1623=0,"",H1623)</f>
        <v>21</v>
      </c>
      <c r="I1624" s="21">
        <f t="shared" si="2317"/>
        <v>21</v>
      </c>
      <c r="J1624" s="21">
        <f t="shared" ref="J1624:K1624" si="2318">IF(J1623=0,"",J1623)</f>
        <v>21</v>
      </c>
      <c r="K1624" s="21">
        <f t="shared" si="2318"/>
        <v>21</v>
      </c>
      <c r="L1624" s="21">
        <f t="shared" ref="L1624:M1624" si="2319">IF(L1623=0,"",L1623)</f>
        <v>21</v>
      </c>
      <c r="M1624" s="21">
        <f t="shared" si="2319"/>
        <v>21</v>
      </c>
      <c r="N1624" s="128">
        <f>SUM(B1624:M1624)</f>
        <v>252</v>
      </c>
      <c r="O1624" s="22">
        <f>IF(N1624=0,0,AVERAGE(B1624:M1624))</f>
        <v>21</v>
      </c>
      <c r="P1624" s="96"/>
      <c r="Q1624" s="96"/>
      <c r="R1624" s="96"/>
      <c r="S1624" s="96"/>
      <c r="T1624" s="96"/>
      <c r="U1624" s="96"/>
      <c r="V1624" s="96"/>
      <c r="W1624" s="96"/>
      <c r="X1624" s="96"/>
      <c r="Y1624" s="96"/>
      <c r="Z1624" s="96"/>
    </row>
    <row r="1625" spans="1:26" s="9" customFormat="1" ht="15.75">
      <c r="A1625" s="56" t="s">
        <v>248</v>
      </c>
      <c r="B1625" s="21">
        <f t="shared" ref="B1625:C1625" si="2320">SUM(B1621,B1624)</f>
        <v>362</v>
      </c>
      <c r="C1625" s="21">
        <f t="shared" si="2320"/>
        <v>362</v>
      </c>
      <c r="D1625" s="21">
        <f t="shared" ref="D1625:E1625" si="2321">SUM(D1621,D1624)</f>
        <v>360</v>
      </c>
      <c r="E1625" s="21">
        <f t="shared" si="2321"/>
        <v>356</v>
      </c>
      <c r="F1625" s="21">
        <f t="shared" ref="F1625:G1625" si="2322">SUM(F1621,F1624)</f>
        <v>359</v>
      </c>
      <c r="G1625" s="21">
        <f t="shared" si="2322"/>
        <v>363</v>
      </c>
      <c r="H1625" s="21">
        <f t="shared" ref="H1625:I1625" si="2323">SUM(H1621,H1624)</f>
        <v>361</v>
      </c>
      <c r="I1625" s="21">
        <f t="shared" si="2323"/>
        <v>367</v>
      </c>
      <c r="J1625" s="21">
        <f t="shared" ref="J1625:K1625" si="2324">SUM(J1621,J1624)</f>
        <v>367</v>
      </c>
      <c r="K1625" s="21">
        <f t="shared" si="2324"/>
        <v>364</v>
      </c>
      <c r="L1625" s="21">
        <f t="shared" ref="L1625:M1625" si="2325">SUM(L1621,L1624)</f>
        <v>371</v>
      </c>
      <c r="M1625" s="21">
        <f t="shared" si="2325"/>
        <v>370</v>
      </c>
      <c r="N1625" s="128">
        <f>SUM(N1621,N1624)</f>
        <v>4362</v>
      </c>
      <c r="O1625" s="22">
        <f>SUM(O1621,O1624)</f>
        <v>363.5</v>
      </c>
      <c r="P1625" s="96"/>
      <c r="Q1625" s="96"/>
      <c r="R1625" s="96"/>
      <c r="S1625" s="96"/>
      <c r="T1625" s="96"/>
      <c r="U1625" s="96"/>
      <c r="V1625" s="96"/>
      <c r="W1625" s="96"/>
      <c r="X1625" s="96"/>
      <c r="Y1625" s="96"/>
      <c r="Z1625" s="96"/>
    </row>
    <row r="1626" spans="1:26" s="9" customFormat="1">
      <c r="A1626" s="115"/>
      <c r="B1626" s="24"/>
      <c r="C1626" s="24"/>
      <c r="D1626" s="24"/>
      <c r="E1626" s="25"/>
      <c r="F1626" s="25"/>
      <c r="G1626" s="25"/>
      <c r="H1626" s="25"/>
      <c r="I1626" s="25"/>
      <c r="J1626" s="25"/>
      <c r="K1626" s="25"/>
      <c r="L1626" s="25"/>
      <c r="M1626" s="25"/>
      <c r="N1626" s="134"/>
      <c r="O1626" s="13"/>
      <c r="P1626" s="96"/>
      <c r="Q1626" s="96"/>
      <c r="R1626" s="96"/>
      <c r="S1626" s="96"/>
      <c r="T1626" s="96"/>
      <c r="U1626" s="96"/>
      <c r="V1626" s="96"/>
      <c r="W1626" s="96"/>
      <c r="X1626" s="96"/>
      <c r="Y1626" s="96"/>
      <c r="Z1626" s="96"/>
    </row>
    <row r="1627" spans="1:26" s="9" customFormat="1" ht="15.75">
      <c r="A1627" s="60" t="s">
        <v>574</v>
      </c>
      <c r="B1627" s="75"/>
      <c r="C1627" s="75"/>
      <c r="D1627" s="75"/>
      <c r="E1627" s="75"/>
      <c r="F1627" s="75"/>
      <c r="G1627" s="75"/>
      <c r="H1627" s="75"/>
      <c r="I1627" s="75"/>
      <c r="J1627" s="75"/>
      <c r="K1627" s="75"/>
      <c r="L1627" s="75"/>
      <c r="M1627" s="75"/>
      <c r="N1627" s="146"/>
      <c r="O1627" s="76"/>
      <c r="P1627" s="96"/>
      <c r="Q1627" s="96"/>
      <c r="R1627" s="96"/>
      <c r="S1627" s="96"/>
      <c r="T1627" s="96"/>
      <c r="U1627" s="96"/>
      <c r="V1627" s="96"/>
      <c r="W1627" s="96"/>
      <c r="X1627" s="96"/>
      <c r="Y1627" s="96"/>
      <c r="Z1627" s="96"/>
    </row>
    <row r="1628" spans="1:26" s="9" customFormat="1" ht="15.75">
      <c r="A1628" s="34" t="s">
        <v>249</v>
      </c>
      <c r="B1628" s="18">
        <v>12</v>
      </c>
      <c r="C1628" s="18">
        <v>12</v>
      </c>
      <c r="D1628" s="18">
        <v>12</v>
      </c>
      <c r="E1628" s="18">
        <v>12</v>
      </c>
      <c r="F1628" s="18">
        <v>13</v>
      </c>
      <c r="G1628" s="18">
        <v>14</v>
      </c>
      <c r="H1628" s="18">
        <v>14</v>
      </c>
      <c r="I1628" s="18">
        <v>14</v>
      </c>
      <c r="J1628" s="18">
        <v>14</v>
      </c>
      <c r="K1628" s="18">
        <v>14</v>
      </c>
      <c r="L1628" s="18">
        <v>14</v>
      </c>
      <c r="M1628" s="18">
        <v>14</v>
      </c>
      <c r="N1628" s="133">
        <f t="shared" ref="N1628:N1635" si="2326">SUM(B1628:M1628)</f>
        <v>159</v>
      </c>
      <c r="O1628" s="19">
        <f t="shared" ref="O1628:O1635" si="2327">IF(N1628=0,0,AVERAGE(B1628:M1628))</f>
        <v>13.25</v>
      </c>
      <c r="P1628" s="96"/>
      <c r="Q1628" s="96"/>
      <c r="R1628" s="96"/>
      <c r="S1628" s="96"/>
      <c r="T1628" s="96"/>
      <c r="U1628" s="96"/>
      <c r="V1628" s="96"/>
      <c r="W1628" s="96"/>
      <c r="X1628" s="96"/>
      <c r="Y1628" s="96"/>
      <c r="Z1628" s="96"/>
    </row>
    <row r="1629" spans="1:26" s="9" customFormat="1" ht="15.75">
      <c r="A1629" s="34" t="s">
        <v>250</v>
      </c>
      <c r="B1629" s="18">
        <v>80</v>
      </c>
      <c r="C1629" s="18">
        <v>80</v>
      </c>
      <c r="D1629" s="18">
        <v>80</v>
      </c>
      <c r="E1629" s="18">
        <v>78</v>
      </c>
      <c r="F1629" s="18">
        <v>80</v>
      </c>
      <c r="G1629" s="18">
        <v>80</v>
      </c>
      <c r="H1629" s="18">
        <v>80</v>
      </c>
      <c r="I1629" s="18">
        <v>82</v>
      </c>
      <c r="J1629" s="18">
        <v>84</v>
      </c>
      <c r="K1629" s="18">
        <v>84</v>
      </c>
      <c r="L1629" s="18">
        <v>87</v>
      </c>
      <c r="M1629" s="18">
        <v>84</v>
      </c>
      <c r="N1629" s="133">
        <f t="shared" si="2326"/>
        <v>979</v>
      </c>
      <c r="O1629" s="19">
        <f t="shared" si="2327"/>
        <v>81.583333333333329</v>
      </c>
      <c r="P1629" s="96"/>
      <c r="Q1629" s="96"/>
      <c r="R1629" s="96"/>
      <c r="S1629" s="96"/>
      <c r="T1629" s="96"/>
      <c r="U1629" s="96"/>
      <c r="V1629" s="96"/>
      <c r="W1629" s="96"/>
      <c r="X1629" s="96"/>
      <c r="Y1629" s="96"/>
      <c r="Z1629" s="96"/>
    </row>
    <row r="1630" spans="1:26" s="9" customFormat="1" ht="15.75">
      <c r="A1630" s="34" t="s">
        <v>251</v>
      </c>
      <c r="B1630" s="18">
        <v>10</v>
      </c>
      <c r="C1630" s="18">
        <v>10</v>
      </c>
      <c r="D1630" s="18">
        <v>9</v>
      </c>
      <c r="E1630" s="18">
        <v>9</v>
      </c>
      <c r="F1630" s="18">
        <v>9</v>
      </c>
      <c r="G1630" s="18">
        <v>9</v>
      </c>
      <c r="H1630" s="18">
        <v>9</v>
      </c>
      <c r="I1630" s="18">
        <v>9</v>
      </c>
      <c r="J1630" s="18">
        <v>9</v>
      </c>
      <c r="K1630" s="18">
        <v>9</v>
      </c>
      <c r="L1630" s="18">
        <v>9</v>
      </c>
      <c r="M1630" s="18">
        <v>9</v>
      </c>
      <c r="N1630" s="133">
        <f t="shared" si="2326"/>
        <v>110</v>
      </c>
      <c r="O1630" s="19">
        <f t="shared" si="2327"/>
        <v>9.1666666666666661</v>
      </c>
      <c r="P1630" s="96"/>
      <c r="Q1630" s="96"/>
      <c r="R1630" s="96"/>
      <c r="S1630" s="96"/>
      <c r="T1630" s="96"/>
      <c r="U1630" s="96"/>
      <c r="V1630" s="96"/>
      <c r="W1630" s="96"/>
      <c r="X1630" s="96"/>
      <c r="Y1630" s="96"/>
      <c r="Z1630" s="96"/>
    </row>
    <row r="1631" spans="1:26" s="9" customFormat="1" ht="15.75">
      <c r="A1631" s="34" t="s">
        <v>252</v>
      </c>
      <c r="B1631" s="18">
        <v>211</v>
      </c>
      <c r="C1631" s="18">
        <v>211</v>
      </c>
      <c r="D1631" s="18">
        <v>210</v>
      </c>
      <c r="E1631" s="18">
        <v>208</v>
      </c>
      <c r="F1631" s="18">
        <v>208</v>
      </c>
      <c r="G1631" s="18">
        <v>211</v>
      </c>
      <c r="H1631" s="18">
        <v>209</v>
      </c>
      <c r="I1631" s="18">
        <v>213</v>
      </c>
      <c r="J1631" s="18">
        <v>211</v>
      </c>
      <c r="K1631" s="18">
        <v>208</v>
      </c>
      <c r="L1631" s="18">
        <v>214</v>
      </c>
      <c r="M1631" s="18">
        <v>214</v>
      </c>
      <c r="N1631" s="133">
        <f t="shared" si="2326"/>
        <v>2528</v>
      </c>
      <c r="O1631" s="19">
        <f t="shared" si="2327"/>
        <v>210.66666666666666</v>
      </c>
      <c r="P1631" s="96"/>
      <c r="Q1631" s="96"/>
      <c r="R1631" s="96"/>
      <c r="S1631" s="96"/>
      <c r="T1631" s="96"/>
      <c r="U1631" s="96"/>
      <c r="V1631" s="96"/>
      <c r="W1631" s="96"/>
      <c r="X1631" s="96"/>
      <c r="Y1631" s="96"/>
      <c r="Z1631" s="96"/>
    </row>
    <row r="1632" spans="1:26" s="9" customFormat="1" ht="15.75">
      <c r="A1632" s="34" t="s">
        <v>253</v>
      </c>
      <c r="B1632" s="18">
        <v>6</v>
      </c>
      <c r="C1632" s="18">
        <v>6</v>
      </c>
      <c r="D1632" s="18">
        <v>6</v>
      </c>
      <c r="E1632" s="18">
        <v>6</v>
      </c>
      <c r="F1632" s="18">
        <v>6</v>
      </c>
      <c r="G1632" s="18">
        <v>6</v>
      </c>
      <c r="H1632" s="18">
        <v>6</v>
      </c>
      <c r="I1632" s="18">
        <v>6</v>
      </c>
      <c r="J1632" s="18">
        <v>6</v>
      </c>
      <c r="K1632" s="18">
        <v>6</v>
      </c>
      <c r="L1632" s="18">
        <v>4</v>
      </c>
      <c r="M1632" s="18">
        <v>3</v>
      </c>
      <c r="N1632" s="133">
        <f t="shared" si="2326"/>
        <v>67</v>
      </c>
      <c r="O1632" s="19">
        <f t="shared" si="2327"/>
        <v>5.583333333333333</v>
      </c>
      <c r="P1632" s="96"/>
      <c r="Q1632" s="96"/>
      <c r="R1632" s="96"/>
      <c r="S1632" s="96"/>
      <c r="T1632" s="96"/>
      <c r="U1632" s="96"/>
      <c r="V1632" s="96"/>
      <c r="W1632" s="96"/>
      <c r="X1632" s="96"/>
      <c r="Y1632" s="96"/>
      <c r="Z1632" s="96"/>
    </row>
    <row r="1633" spans="1:26" s="9" customFormat="1" ht="15.75">
      <c r="A1633" s="34" t="s">
        <v>254</v>
      </c>
      <c r="B1633" s="18">
        <v>17</v>
      </c>
      <c r="C1633" s="18">
        <v>17</v>
      </c>
      <c r="D1633" s="18">
        <v>17</v>
      </c>
      <c r="E1633" s="18">
        <v>17</v>
      </c>
      <c r="F1633" s="18">
        <v>17</v>
      </c>
      <c r="G1633" s="18">
        <v>17</v>
      </c>
      <c r="H1633" s="18">
        <v>17</v>
      </c>
      <c r="I1633" s="18">
        <v>17</v>
      </c>
      <c r="J1633" s="18">
        <v>17</v>
      </c>
      <c r="K1633" s="18">
        <v>17</v>
      </c>
      <c r="L1633" s="18">
        <v>18</v>
      </c>
      <c r="M1633" s="18">
        <v>19</v>
      </c>
      <c r="N1633" s="133">
        <f t="shared" si="2326"/>
        <v>207</v>
      </c>
      <c r="O1633" s="19">
        <f t="shared" si="2327"/>
        <v>17.25</v>
      </c>
      <c r="P1633" s="96"/>
      <c r="Q1633" s="96"/>
      <c r="R1633" s="96"/>
      <c r="S1633" s="96"/>
      <c r="T1633" s="96"/>
      <c r="U1633" s="96"/>
      <c r="V1633" s="96"/>
      <c r="W1633" s="96"/>
      <c r="X1633" s="96"/>
      <c r="Y1633" s="96"/>
      <c r="Z1633" s="96"/>
    </row>
    <row r="1634" spans="1:26" s="9" customFormat="1" ht="15.75">
      <c r="A1634" s="34" t="s">
        <v>255</v>
      </c>
      <c r="B1634" s="18">
        <v>4</v>
      </c>
      <c r="C1634" s="18">
        <v>4</v>
      </c>
      <c r="D1634" s="18">
        <v>4</v>
      </c>
      <c r="E1634" s="18">
        <v>4</v>
      </c>
      <c r="F1634" s="18">
        <v>4</v>
      </c>
      <c r="G1634" s="18">
        <v>4</v>
      </c>
      <c r="H1634" s="18">
        <v>4</v>
      </c>
      <c r="I1634" s="18">
        <v>4</v>
      </c>
      <c r="J1634" s="18">
        <v>4</v>
      </c>
      <c r="K1634" s="18">
        <v>4</v>
      </c>
      <c r="L1634" s="18">
        <v>3</v>
      </c>
      <c r="M1634" s="18">
        <v>3</v>
      </c>
      <c r="N1634" s="133">
        <f t="shared" si="2326"/>
        <v>46</v>
      </c>
      <c r="O1634" s="19">
        <f t="shared" si="2327"/>
        <v>3.8333333333333335</v>
      </c>
      <c r="P1634" s="96"/>
      <c r="Q1634" s="96"/>
      <c r="R1634" s="96"/>
      <c r="S1634" s="96"/>
      <c r="T1634" s="96"/>
      <c r="U1634" s="96"/>
      <c r="V1634" s="96"/>
      <c r="W1634" s="96"/>
      <c r="X1634" s="96"/>
      <c r="Y1634" s="96"/>
      <c r="Z1634" s="96"/>
    </row>
    <row r="1635" spans="1:26" s="9" customFormat="1" ht="15.75">
      <c r="A1635" s="34" t="s">
        <v>256</v>
      </c>
      <c r="B1635" s="18">
        <v>1</v>
      </c>
      <c r="C1635" s="18">
        <v>1</v>
      </c>
      <c r="D1635" s="18">
        <v>1</v>
      </c>
      <c r="E1635" s="18">
        <v>1</v>
      </c>
      <c r="F1635" s="18">
        <v>1</v>
      </c>
      <c r="G1635" s="18">
        <v>1</v>
      </c>
      <c r="H1635" s="18">
        <v>1</v>
      </c>
      <c r="I1635" s="18">
        <v>1</v>
      </c>
      <c r="J1635" s="18">
        <v>1</v>
      </c>
      <c r="K1635" s="18">
        <v>1</v>
      </c>
      <c r="L1635" s="18">
        <v>1</v>
      </c>
      <c r="M1635" s="18">
        <v>1</v>
      </c>
      <c r="N1635" s="133">
        <f t="shared" si="2326"/>
        <v>12</v>
      </c>
      <c r="O1635" s="19">
        <f t="shared" si="2327"/>
        <v>1</v>
      </c>
      <c r="P1635" s="96"/>
      <c r="Q1635" s="96"/>
      <c r="R1635" s="96"/>
      <c r="S1635" s="96"/>
      <c r="T1635" s="96"/>
      <c r="U1635" s="96"/>
      <c r="V1635" s="96"/>
      <c r="W1635" s="96"/>
      <c r="X1635" s="96"/>
      <c r="Y1635" s="96"/>
      <c r="Z1635" s="96"/>
    </row>
    <row r="1636" spans="1:26" s="9" customFormat="1" ht="15.75">
      <c r="A1636" s="56" t="s">
        <v>21</v>
      </c>
      <c r="B1636" s="21">
        <f t="shared" ref="B1636:C1636" si="2328">SUM(B1628:B1635)</f>
        <v>341</v>
      </c>
      <c r="C1636" s="21">
        <f t="shared" si="2328"/>
        <v>341</v>
      </c>
      <c r="D1636" s="21">
        <f t="shared" ref="D1636:F1636" si="2329">SUM(D1628:D1635)</f>
        <v>339</v>
      </c>
      <c r="E1636" s="21">
        <f t="shared" si="2329"/>
        <v>335</v>
      </c>
      <c r="F1636" s="21">
        <f t="shared" si="2329"/>
        <v>338</v>
      </c>
      <c r="G1636" s="21">
        <f t="shared" ref="G1636:H1636" si="2330">SUM(G1628:G1635)</f>
        <v>342</v>
      </c>
      <c r="H1636" s="21">
        <f t="shared" si="2330"/>
        <v>340</v>
      </c>
      <c r="I1636" s="21">
        <f t="shared" ref="I1636:M1636" si="2331">SUM(I1628:I1635)</f>
        <v>346</v>
      </c>
      <c r="J1636" s="21">
        <f t="shared" si="2331"/>
        <v>346</v>
      </c>
      <c r="K1636" s="21">
        <f t="shared" si="2331"/>
        <v>343</v>
      </c>
      <c r="L1636" s="21">
        <f t="shared" si="2331"/>
        <v>350</v>
      </c>
      <c r="M1636" s="21">
        <f t="shared" si="2331"/>
        <v>347</v>
      </c>
      <c r="N1636" s="128">
        <f>SUM(N1628:N1635)</f>
        <v>4108</v>
      </c>
      <c r="O1636" s="22">
        <f>SUM(O1628:O1635)</f>
        <v>342.33333333333326</v>
      </c>
      <c r="P1636" s="96"/>
      <c r="Q1636" s="96"/>
      <c r="R1636" s="96"/>
      <c r="S1636" s="96"/>
      <c r="T1636" s="96"/>
      <c r="U1636" s="96"/>
      <c r="V1636" s="96"/>
      <c r="W1636" s="96"/>
      <c r="X1636" s="96"/>
      <c r="Y1636" s="96"/>
      <c r="Z1636" s="96"/>
    </row>
    <row r="1637" spans="1:26" s="9" customFormat="1">
      <c r="A1637" s="23"/>
      <c r="B1637" s="24"/>
      <c r="C1637" s="24"/>
      <c r="D1637" s="24"/>
      <c r="E1637" s="25"/>
      <c r="F1637" s="25"/>
      <c r="G1637" s="25"/>
      <c r="H1637" s="25"/>
      <c r="I1637" s="25"/>
      <c r="J1637" s="25"/>
      <c r="K1637" s="25"/>
      <c r="L1637" s="25"/>
      <c r="M1637" s="25"/>
      <c r="N1637" s="134"/>
      <c r="O1637" s="13"/>
      <c r="P1637" s="96"/>
      <c r="Q1637" s="96"/>
      <c r="R1637" s="96"/>
      <c r="S1637" s="96"/>
      <c r="T1637" s="96"/>
      <c r="U1637" s="96"/>
      <c r="V1637" s="96"/>
      <c r="W1637" s="96"/>
      <c r="X1637" s="96"/>
      <c r="Y1637" s="96"/>
      <c r="Z1637" s="96"/>
    </row>
    <row r="1638" spans="1:26" s="9" customFormat="1" ht="15.75">
      <c r="A1638" s="60" t="s">
        <v>257</v>
      </c>
      <c r="B1638" s="75"/>
      <c r="C1638" s="75"/>
      <c r="D1638" s="75"/>
      <c r="E1638" s="75"/>
      <c r="F1638" s="75"/>
      <c r="G1638" s="75"/>
      <c r="H1638" s="75"/>
      <c r="I1638" s="75"/>
      <c r="J1638" s="75"/>
      <c r="K1638" s="75"/>
      <c r="L1638" s="75"/>
      <c r="M1638" s="75"/>
      <c r="N1638" s="146"/>
      <c r="O1638" s="76"/>
      <c r="P1638" s="96"/>
      <c r="Q1638" s="96"/>
      <c r="R1638" s="96"/>
      <c r="S1638" s="96"/>
      <c r="T1638" s="96"/>
      <c r="U1638" s="96"/>
      <c r="V1638" s="96"/>
      <c r="W1638" s="96"/>
      <c r="X1638" s="96"/>
      <c r="Y1638" s="96"/>
      <c r="Z1638" s="96"/>
    </row>
    <row r="1639" spans="1:26" s="9" customFormat="1" ht="15.75">
      <c r="A1639" s="34" t="s">
        <v>258</v>
      </c>
      <c r="B1639" s="18">
        <v>107</v>
      </c>
      <c r="C1639" s="18">
        <v>107</v>
      </c>
      <c r="D1639" s="18">
        <v>135</v>
      </c>
      <c r="E1639" s="18">
        <v>135</v>
      </c>
      <c r="F1639" s="18">
        <v>135</v>
      </c>
      <c r="G1639" s="18">
        <v>135</v>
      </c>
      <c r="H1639" s="18">
        <v>135</v>
      </c>
      <c r="I1639" s="18">
        <v>135</v>
      </c>
      <c r="J1639" s="18">
        <v>135</v>
      </c>
      <c r="K1639" s="18">
        <v>135</v>
      </c>
      <c r="L1639" s="18">
        <v>135</v>
      </c>
      <c r="M1639" s="18">
        <v>107</v>
      </c>
      <c r="N1639" s="133">
        <f>SUM(B1639:M1639)</f>
        <v>1536</v>
      </c>
      <c r="O1639" s="19">
        <f>IF(N1639=0,0,AVERAGE(B1639:M1639))</f>
        <v>128</v>
      </c>
      <c r="P1639" s="96"/>
      <c r="Q1639" s="96"/>
      <c r="R1639" s="96"/>
      <c r="S1639" s="96"/>
      <c r="T1639" s="96"/>
      <c r="U1639" s="96"/>
      <c r="V1639" s="96"/>
      <c r="W1639" s="96"/>
      <c r="X1639" s="96"/>
      <c r="Y1639" s="96"/>
      <c r="Z1639" s="96"/>
    </row>
    <row r="1640" spans="1:26" s="9" customFormat="1" ht="15.75">
      <c r="A1640" s="37" t="s">
        <v>22</v>
      </c>
      <c r="B1640" s="18">
        <v>0</v>
      </c>
      <c r="C1640" s="18">
        <v>0</v>
      </c>
      <c r="D1640" s="18">
        <v>0</v>
      </c>
      <c r="E1640" s="18">
        <v>0</v>
      </c>
      <c r="F1640" s="18">
        <v>0</v>
      </c>
      <c r="G1640" s="18">
        <v>0</v>
      </c>
      <c r="H1640" s="18">
        <v>0</v>
      </c>
      <c r="I1640" s="18">
        <v>0</v>
      </c>
      <c r="J1640" s="18">
        <v>0</v>
      </c>
      <c r="K1640" s="18">
        <v>0</v>
      </c>
      <c r="L1640" s="18">
        <v>0</v>
      </c>
      <c r="M1640" s="18">
        <v>0</v>
      </c>
      <c r="N1640" s="133">
        <f>SUM(B1640:M1640)</f>
        <v>0</v>
      </c>
      <c r="O1640" s="19">
        <f>IF(N1640=0,0,AVERAGE(B1640:M1640))</f>
        <v>0</v>
      </c>
      <c r="P1640" s="96"/>
      <c r="Q1640" s="96"/>
      <c r="R1640" s="96"/>
      <c r="S1640" s="96"/>
      <c r="T1640" s="96"/>
      <c r="U1640" s="96"/>
      <c r="V1640" s="96"/>
      <c r="W1640" s="96"/>
      <c r="X1640" s="96"/>
      <c r="Y1640" s="96"/>
      <c r="Z1640" s="96"/>
    </row>
    <row r="1641" spans="1:26" s="9" customFormat="1">
      <c r="A1641" s="23"/>
      <c r="B1641" s="24"/>
      <c r="C1641" s="24"/>
      <c r="D1641" s="24"/>
      <c r="E1641" s="25"/>
      <c r="F1641" s="25"/>
      <c r="G1641" s="25"/>
      <c r="H1641" s="25"/>
      <c r="I1641" s="25"/>
      <c r="J1641" s="25"/>
      <c r="K1641" s="25"/>
      <c r="L1641" s="25"/>
      <c r="M1641" s="25"/>
      <c r="N1641" s="134"/>
      <c r="O1641" s="13"/>
      <c r="P1641" s="96"/>
      <c r="Q1641" s="96"/>
      <c r="R1641" s="96"/>
      <c r="S1641" s="96"/>
      <c r="T1641" s="96"/>
      <c r="U1641" s="96"/>
      <c r="V1641" s="96"/>
      <c r="W1641" s="96"/>
      <c r="X1641" s="96"/>
      <c r="Y1641" s="96"/>
      <c r="Z1641" s="96"/>
    </row>
    <row r="1642" spans="1:26" s="9" customFormat="1" ht="15.75">
      <c r="A1642" s="60" t="s">
        <v>259</v>
      </c>
      <c r="B1642" s="75"/>
      <c r="C1642" s="75"/>
      <c r="D1642" s="75"/>
      <c r="E1642" s="75"/>
      <c r="F1642" s="75"/>
      <c r="G1642" s="75"/>
      <c r="H1642" s="75"/>
      <c r="I1642" s="75"/>
      <c r="J1642" s="75"/>
      <c r="K1642" s="75"/>
      <c r="L1642" s="75"/>
      <c r="M1642" s="75"/>
      <c r="N1642" s="146"/>
      <c r="O1642" s="76"/>
      <c r="P1642" s="96"/>
      <c r="Q1642" s="96"/>
      <c r="R1642" s="96"/>
      <c r="S1642" s="96"/>
      <c r="T1642" s="96"/>
      <c r="U1642" s="96"/>
      <c r="V1642" s="96"/>
      <c r="W1642" s="96"/>
      <c r="X1642" s="96"/>
      <c r="Y1642" s="96"/>
      <c r="Z1642" s="96"/>
    </row>
    <row r="1643" spans="1:26" s="9" customFormat="1" ht="15.75">
      <c r="A1643" s="37" t="s">
        <v>260</v>
      </c>
      <c r="B1643" s="18">
        <v>27</v>
      </c>
      <c r="C1643" s="18">
        <v>19</v>
      </c>
      <c r="D1643" s="18">
        <v>14</v>
      </c>
      <c r="E1643" s="18">
        <v>23</v>
      </c>
      <c r="F1643" s="288">
        <v>19</v>
      </c>
      <c r="G1643" s="18">
        <v>25</v>
      </c>
      <c r="H1643" s="18">
        <v>30</v>
      </c>
      <c r="I1643" s="18">
        <v>24</v>
      </c>
      <c r="J1643" s="18">
        <v>27</v>
      </c>
      <c r="K1643" s="18">
        <v>27</v>
      </c>
      <c r="L1643" s="18">
        <v>21</v>
      </c>
      <c r="M1643" s="18">
        <v>22</v>
      </c>
      <c r="N1643" s="133">
        <f>SUM(B1643:M1643)</f>
        <v>278</v>
      </c>
      <c r="O1643" s="19">
        <f t="shared" ref="O1643:O1660" si="2332">IF(N1643=0,0,AVERAGE(B1643:M1643))</f>
        <v>23.166666666666668</v>
      </c>
      <c r="P1643" s="96"/>
      <c r="Q1643" s="96"/>
      <c r="R1643" s="96"/>
      <c r="S1643" s="96"/>
      <c r="T1643" s="96"/>
      <c r="U1643" s="96"/>
      <c r="V1643" s="96"/>
      <c r="W1643" s="96"/>
      <c r="X1643" s="96"/>
      <c r="Y1643" s="96"/>
      <c r="Z1643" s="96"/>
    </row>
    <row r="1644" spans="1:26" s="9" customFormat="1" ht="15.75">
      <c r="A1644" s="37" t="s">
        <v>261</v>
      </c>
      <c r="B1644" s="18">
        <v>18</v>
      </c>
      <c r="C1644" s="18">
        <v>20</v>
      </c>
      <c r="D1644" s="18">
        <v>14</v>
      </c>
      <c r="E1644" s="18">
        <v>15</v>
      </c>
      <c r="F1644" s="288">
        <v>15</v>
      </c>
      <c r="G1644" s="18">
        <v>21</v>
      </c>
      <c r="H1644" s="18">
        <v>19</v>
      </c>
      <c r="I1644" s="18">
        <v>21</v>
      </c>
      <c r="J1644" s="18">
        <v>18</v>
      </c>
      <c r="K1644" s="18">
        <v>19</v>
      </c>
      <c r="L1644" s="18">
        <v>18</v>
      </c>
      <c r="M1644" s="18">
        <v>18</v>
      </c>
      <c r="N1644" s="133">
        <f t="shared" ref="N1644:N1660" si="2333">SUM(B1644:M1644)</f>
        <v>216</v>
      </c>
      <c r="O1644" s="19">
        <f t="shared" si="2332"/>
        <v>18</v>
      </c>
      <c r="P1644" s="96"/>
      <c r="Q1644" s="96"/>
      <c r="R1644" s="96"/>
      <c r="S1644" s="96"/>
      <c r="T1644" s="96"/>
      <c r="U1644" s="96"/>
      <c r="V1644" s="96"/>
      <c r="W1644" s="96"/>
      <c r="X1644" s="96"/>
      <c r="Y1644" s="96"/>
      <c r="Z1644" s="96"/>
    </row>
    <row r="1645" spans="1:26" s="9" customFormat="1" ht="15.75">
      <c r="A1645" s="34" t="s">
        <v>262</v>
      </c>
      <c r="B1645" s="18">
        <v>8</v>
      </c>
      <c r="C1645" s="18">
        <v>9</v>
      </c>
      <c r="D1645" s="18">
        <v>1</v>
      </c>
      <c r="E1645" s="18">
        <v>3</v>
      </c>
      <c r="F1645" s="288">
        <v>10</v>
      </c>
      <c r="G1645" s="18">
        <v>15</v>
      </c>
      <c r="H1645" s="18">
        <v>3</v>
      </c>
      <c r="I1645" s="18">
        <v>10</v>
      </c>
      <c r="J1645" s="18">
        <v>9</v>
      </c>
      <c r="K1645" s="18">
        <v>4</v>
      </c>
      <c r="L1645" s="18">
        <v>11</v>
      </c>
      <c r="M1645" s="18">
        <v>4</v>
      </c>
      <c r="N1645" s="133">
        <f t="shared" si="2333"/>
        <v>87</v>
      </c>
      <c r="O1645" s="19">
        <f t="shared" si="2332"/>
        <v>7.25</v>
      </c>
      <c r="P1645" s="96"/>
      <c r="Q1645" s="96"/>
      <c r="R1645" s="96"/>
      <c r="S1645" s="96"/>
      <c r="T1645" s="96"/>
      <c r="U1645" s="96"/>
      <c r="V1645" s="96"/>
      <c r="W1645" s="96"/>
      <c r="X1645" s="96"/>
      <c r="Y1645" s="96"/>
      <c r="Z1645" s="96"/>
    </row>
    <row r="1646" spans="1:26" s="9" customFormat="1" ht="15.75">
      <c r="A1646" s="34" t="s">
        <v>263</v>
      </c>
      <c r="B1646" s="18">
        <v>5</v>
      </c>
      <c r="C1646" s="18">
        <v>9</v>
      </c>
      <c r="D1646" s="18">
        <v>3</v>
      </c>
      <c r="E1646" s="18">
        <v>7</v>
      </c>
      <c r="F1646" s="288">
        <v>6</v>
      </c>
      <c r="G1646" s="18">
        <v>9</v>
      </c>
      <c r="H1646" s="18">
        <v>5</v>
      </c>
      <c r="I1646" s="18">
        <v>4</v>
      </c>
      <c r="J1646" s="18">
        <v>9</v>
      </c>
      <c r="K1646" s="18">
        <v>7</v>
      </c>
      <c r="L1646" s="18">
        <v>4</v>
      </c>
      <c r="M1646" s="18">
        <v>5</v>
      </c>
      <c r="N1646" s="133">
        <f t="shared" si="2333"/>
        <v>73</v>
      </c>
      <c r="O1646" s="19">
        <f t="shared" si="2332"/>
        <v>6.083333333333333</v>
      </c>
      <c r="P1646" s="96"/>
      <c r="Q1646" s="96"/>
      <c r="R1646" s="96"/>
      <c r="S1646" s="96"/>
      <c r="T1646" s="96"/>
      <c r="U1646" s="96"/>
      <c r="V1646" s="96"/>
      <c r="W1646" s="96"/>
      <c r="X1646" s="96"/>
      <c r="Y1646" s="96"/>
      <c r="Z1646" s="96"/>
    </row>
    <row r="1647" spans="1:26" s="9" customFormat="1" ht="15.75">
      <c r="A1647" s="34" t="s">
        <v>264</v>
      </c>
      <c r="B1647" s="18">
        <v>18</v>
      </c>
      <c r="C1647" s="18">
        <v>20</v>
      </c>
      <c r="D1647" s="18">
        <v>14</v>
      </c>
      <c r="E1647" s="18">
        <v>15</v>
      </c>
      <c r="F1647" s="288">
        <v>15</v>
      </c>
      <c r="G1647" s="18">
        <v>21</v>
      </c>
      <c r="H1647" s="18">
        <v>19</v>
      </c>
      <c r="I1647" s="18">
        <v>21</v>
      </c>
      <c r="J1647" s="18">
        <v>18</v>
      </c>
      <c r="K1647" s="18">
        <v>19</v>
      </c>
      <c r="L1647" s="18">
        <v>18</v>
      </c>
      <c r="M1647" s="18">
        <v>18</v>
      </c>
      <c r="N1647" s="133">
        <f t="shared" si="2333"/>
        <v>216</v>
      </c>
      <c r="O1647" s="19">
        <f t="shared" si="2332"/>
        <v>18</v>
      </c>
      <c r="P1647" s="96"/>
      <c r="Q1647" s="96"/>
      <c r="R1647" s="96"/>
      <c r="S1647" s="96"/>
      <c r="T1647" s="96"/>
      <c r="U1647" s="96"/>
      <c r="V1647" s="96"/>
      <c r="W1647" s="96"/>
      <c r="X1647" s="96"/>
      <c r="Y1647" s="96"/>
      <c r="Z1647" s="96"/>
    </row>
    <row r="1648" spans="1:26" s="9" customFormat="1" ht="15.75">
      <c r="A1648" s="116" t="s">
        <v>265</v>
      </c>
      <c r="B1648" s="18">
        <f t="shared" ref="B1648:G1648" si="2334">IF(B1636=0,"",B1636)</f>
        <v>341</v>
      </c>
      <c r="C1648" s="18">
        <f t="shared" si="2334"/>
        <v>341</v>
      </c>
      <c r="D1648" s="18">
        <f t="shared" si="2334"/>
        <v>339</v>
      </c>
      <c r="E1648" s="18">
        <f t="shared" si="2334"/>
        <v>335</v>
      </c>
      <c r="F1648" s="18">
        <f t="shared" si="2334"/>
        <v>338</v>
      </c>
      <c r="G1648" s="18">
        <f t="shared" si="2334"/>
        <v>342</v>
      </c>
      <c r="H1648" s="18">
        <v>340</v>
      </c>
      <c r="I1648" s="18">
        <v>346</v>
      </c>
      <c r="J1648" s="18">
        <v>346</v>
      </c>
      <c r="K1648" s="18">
        <v>343</v>
      </c>
      <c r="L1648" s="18">
        <v>347</v>
      </c>
      <c r="M1648" s="18">
        <v>347</v>
      </c>
      <c r="N1648" s="133">
        <f t="shared" si="2333"/>
        <v>4105</v>
      </c>
      <c r="O1648" s="19">
        <f t="shared" si="2332"/>
        <v>342.08333333333331</v>
      </c>
      <c r="P1648" s="96"/>
      <c r="Q1648" s="96"/>
      <c r="R1648" s="96"/>
      <c r="S1648" s="96"/>
      <c r="T1648" s="96"/>
      <c r="U1648" s="96"/>
      <c r="V1648" s="96"/>
      <c r="W1648" s="96"/>
      <c r="X1648" s="96"/>
      <c r="Y1648" s="96"/>
      <c r="Z1648" s="96"/>
    </row>
    <row r="1649" spans="1:26" s="9" customFormat="1" ht="15.75">
      <c r="A1649" s="34" t="s">
        <v>266</v>
      </c>
      <c r="B1649" s="18">
        <v>639</v>
      </c>
      <c r="C1649" s="18">
        <v>379</v>
      </c>
      <c r="D1649" s="18">
        <v>298</v>
      </c>
      <c r="E1649" s="18">
        <v>306</v>
      </c>
      <c r="F1649" s="18">
        <v>300</v>
      </c>
      <c r="G1649" s="18">
        <v>314</v>
      </c>
      <c r="H1649" s="18">
        <v>238</v>
      </c>
      <c r="I1649" s="18">
        <v>413</v>
      </c>
      <c r="J1649" s="18">
        <v>370</v>
      </c>
      <c r="K1649" s="18">
        <v>453</v>
      </c>
      <c r="L1649" s="18">
        <v>355</v>
      </c>
      <c r="M1649" s="18">
        <v>302</v>
      </c>
      <c r="N1649" s="133">
        <f t="shared" si="2333"/>
        <v>4367</v>
      </c>
      <c r="O1649" s="19">
        <f t="shared" si="2332"/>
        <v>363.91666666666669</v>
      </c>
      <c r="P1649" s="96"/>
      <c r="Q1649" s="96"/>
      <c r="R1649" s="96"/>
      <c r="S1649" s="96"/>
      <c r="T1649" s="96"/>
      <c r="U1649" s="96"/>
      <c r="V1649" s="96"/>
      <c r="W1649" s="96"/>
      <c r="X1649" s="96"/>
      <c r="Y1649" s="96"/>
      <c r="Z1649" s="96"/>
    </row>
    <row r="1650" spans="1:26" s="9" customFormat="1" ht="15.75">
      <c r="A1650" s="34" t="s">
        <v>267</v>
      </c>
      <c r="B1650" s="18">
        <f t="shared" ref="B1650:M1650" si="2335">IF(B1649=0,"",B1649/(B1648*B1676)*100)</f>
        <v>6.0448396556617165</v>
      </c>
      <c r="C1650" s="18">
        <f t="shared" si="2335"/>
        <v>3.9694176790950984</v>
      </c>
      <c r="D1650" s="18">
        <f t="shared" si="2335"/>
        <v>2.8356646683794842</v>
      </c>
      <c r="E1650" s="18">
        <f t="shared" si="2335"/>
        <v>3.044776119402985</v>
      </c>
      <c r="F1650" s="18">
        <f t="shared" si="2335"/>
        <v>2.863141820958198</v>
      </c>
      <c r="G1650" s="18">
        <f t="shared" si="2335"/>
        <v>3.0604288499025341</v>
      </c>
      <c r="H1650" s="18">
        <f t="shared" si="2335"/>
        <v>2.258064516129032</v>
      </c>
      <c r="I1650" s="18">
        <f t="shared" si="2335"/>
        <v>3.8504568338616445</v>
      </c>
      <c r="J1650" s="18">
        <f t="shared" si="2335"/>
        <v>3.5645472061657033</v>
      </c>
      <c r="K1650" s="18">
        <f t="shared" si="2335"/>
        <v>4.2603216401768087</v>
      </c>
      <c r="L1650" s="18">
        <f t="shared" si="2335"/>
        <v>3.4101825168107585</v>
      </c>
      <c r="M1650" s="18">
        <f t="shared" si="2335"/>
        <v>2.8074742028446593</v>
      </c>
      <c r="N1650" s="133">
        <f t="shared" si="2333"/>
        <v>41.969315709388617</v>
      </c>
      <c r="O1650" s="19">
        <f t="shared" si="2332"/>
        <v>3.4974429757823846</v>
      </c>
      <c r="P1650" s="96"/>
      <c r="Q1650" s="96"/>
      <c r="R1650" s="96"/>
      <c r="S1650" s="96"/>
      <c r="T1650" s="96"/>
      <c r="U1650" s="96"/>
      <c r="V1650" s="96"/>
      <c r="W1650" s="96"/>
      <c r="X1650" s="96"/>
      <c r="Y1650" s="96"/>
      <c r="Z1650" s="96"/>
    </row>
    <row r="1651" spans="1:26" s="241" customFormat="1" ht="15" customHeight="1">
      <c r="A1651" s="34" t="s">
        <v>268</v>
      </c>
      <c r="B1651" s="129">
        <v>914.82</v>
      </c>
      <c r="C1651" s="129">
        <v>1300.71</v>
      </c>
      <c r="D1651" s="129">
        <v>888.13</v>
      </c>
      <c r="E1651" s="129">
        <v>1040</v>
      </c>
      <c r="F1651" s="129">
        <v>1321.6</v>
      </c>
      <c r="G1651" s="129">
        <v>1242.45</v>
      </c>
      <c r="H1651" s="129">
        <v>1482.79</v>
      </c>
      <c r="I1651" s="129">
        <v>1630</v>
      </c>
      <c r="J1651" s="18">
        <v>1935.04</v>
      </c>
      <c r="K1651" s="18">
        <v>1857</v>
      </c>
      <c r="L1651" s="18">
        <v>2525</v>
      </c>
      <c r="M1651" s="18">
        <v>2525</v>
      </c>
      <c r="N1651" s="133">
        <f t="shared" si="2333"/>
        <v>18662.54</v>
      </c>
      <c r="O1651" s="19">
        <f t="shared" si="2332"/>
        <v>1555.2116666666668</v>
      </c>
      <c r="P1651" s="96"/>
      <c r="Q1651" s="96"/>
      <c r="R1651" s="96"/>
      <c r="S1651" s="96"/>
      <c r="T1651" s="96"/>
      <c r="U1651" s="96"/>
      <c r="V1651" s="96"/>
      <c r="W1651" s="96"/>
      <c r="X1651" s="96"/>
      <c r="Y1651" s="96"/>
      <c r="Z1651" s="96"/>
    </row>
    <row r="1652" spans="1:26" s="9" customFormat="1" ht="15.75">
      <c r="A1652" s="419" t="s">
        <v>269</v>
      </c>
      <c r="B1652" s="420">
        <v>548.98</v>
      </c>
      <c r="C1652" s="288">
        <v>377.23</v>
      </c>
      <c r="D1652" s="288">
        <v>239</v>
      </c>
      <c r="E1652" s="420">
        <v>190</v>
      </c>
      <c r="F1652" s="420">
        <v>191</v>
      </c>
      <c r="G1652" s="420">
        <v>522</v>
      </c>
      <c r="H1652" s="420">
        <v>538.04</v>
      </c>
      <c r="I1652" s="420">
        <v>632</v>
      </c>
      <c r="J1652" s="420">
        <v>643</v>
      </c>
      <c r="K1652" s="18">
        <v>618</v>
      </c>
      <c r="L1652" s="18">
        <v>555</v>
      </c>
      <c r="M1652" s="18">
        <v>625</v>
      </c>
      <c r="N1652" s="133">
        <f t="shared" si="2333"/>
        <v>5679.25</v>
      </c>
      <c r="O1652" s="19">
        <f t="shared" si="2332"/>
        <v>473.27083333333331</v>
      </c>
      <c r="P1652" s="96"/>
      <c r="Q1652" s="96"/>
      <c r="R1652" s="96"/>
      <c r="S1652" s="96"/>
      <c r="T1652" s="96"/>
      <c r="U1652" s="96"/>
      <c r="V1652" s="96"/>
      <c r="W1652" s="96"/>
      <c r="X1652" s="96"/>
      <c r="Y1652" s="96"/>
      <c r="Z1652" s="96"/>
    </row>
    <row r="1653" spans="1:26" s="9" customFormat="1" ht="15.75">
      <c r="A1653" s="421" t="s">
        <v>270</v>
      </c>
      <c r="B1653" s="18">
        <f t="shared" ref="B1653:H1654" si="2336">IF(B53="","",B1647/B53)</f>
        <v>3.5541401273885351</v>
      </c>
      <c r="C1653" s="18">
        <f t="shared" si="2336"/>
        <v>3.5443037974683542</v>
      </c>
      <c r="D1653" s="18">
        <f t="shared" si="2336"/>
        <v>1.8468085106382979</v>
      </c>
      <c r="E1653" s="18">
        <f t="shared" si="2336"/>
        <v>2.0737327188940093</v>
      </c>
      <c r="F1653" s="18">
        <f t="shared" si="2336"/>
        <v>2.4603174603174605</v>
      </c>
      <c r="G1653" s="18">
        <f t="shared" si="2336"/>
        <v>3.6416184971098264</v>
      </c>
      <c r="H1653" s="18">
        <f t="shared" si="2336"/>
        <v>3.1329787234042552</v>
      </c>
      <c r="I1653" s="18">
        <f t="shared" ref="I1653:J1653" si="2337">IF(I53="","",I1647/I53)</f>
        <v>3.5189189189189189</v>
      </c>
      <c r="J1653" s="18">
        <f t="shared" si="2337"/>
        <v>3.2142857142857144</v>
      </c>
      <c r="K1653" s="18">
        <f t="shared" ref="K1653:L1653" si="2338">IF(K53="","",K1647/K53)</f>
        <v>2.7652582159624415</v>
      </c>
      <c r="L1653" s="18">
        <f t="shared" si="2338"/>
        <v>2.5714285714285716</v>
      </c>
      <c r="M1653" s="18">
        <f t="shared" ref="M1653" si="2339">IF(M53="","",M1647/M53)</f>
        <v>2.4473684210526319</v>
      </c>
      <c r="N1653" s="133">
        <f t="shared" si="2333"/>
        <v>34.771159676869011</v>
      </c>
      <c r="O1653" s="19">
        <f t="shared" si="2332"/>
        <v>2.8975966397390844</v>
      </c>
      <c r="P1653" s="96"/>
      <c r="Q1653" s="96"/>
      <c r="R1653" s="96"/>
      <c r="S1653" s="96"/>
      <c r="T1653" s="96"/>
      <c r="U1653" s="96"/>
      <c r="V1653" s="96"/>
      <c r="W1653" s="96"/>
      <c r="X1653" s="96"/>
      <c r="Y1653" s="96"/>
      <c r="Z1653" s="96"/>
    </row>
    <row r="1654" spans="1:26" s="9" customFormat="1" ht="16.5" customHeight="1">
      <c r="A1654" s="34" t="s">
        <v>271</v>
      </c>
      <c r="B1654" s="18">
        <f t="shared" si="2336"/>
        <v>7.6935953420669581</v>
      </c>
      <c r="C1654" s="18">
        <f t="shared" si="2336"/>
        <v>6.8444444444444441</v>
      </c>
      <c r="D1654" s="18">
        <f t="shared" si="2336"/>
        <v>7.7729289940828412</v>
      </c>
      <c r="E1654" s="18">
        <f t="shared" si="2336"/>
        <v>8.9412811387900355</v>
      </c>
      <c r="F1654" s="18">
        <f t="shared" si="2336"/>
        <v>7.1230455472467709</v>
      </c>
      <c r="G1654" s="18">
        <f t="shared" si="2336"/>
        <v>7.6339285714285721</v>
      </c>
      <c r="H1654" s="18">
        <f t="shared" si="2336"/>
        <v>7.4593064401981604</v>
      </c>
      <c r="I1654" s="18">
        <f t="shared" ref="I1654:J1654" si="2340">IF(I54="","",I1648/I54)</f>
        <v>7.5217391304347823</v>
      </c>
      <c r="J1654" s="18">
        <f t="shared" si="2340"/>
        <v>7.5711159737417955</v>
      </c>
      <c r="K1654" s="18">
        <f t="shared" ref="K1654:L1654" si="2341">IF(K54="","",K1648/K54)</f>
        <v>7.145833333333333</v>
      </c>
      <c r="L1654" s="18">
        <f t="shared" si="2341"/>
        <v>6.7597402597402594</v>
      </c>
      <c r="M1654" s="18">
        <f t="shared" ref="M1654" si="2342">IF(M54="","",M1648/M54)</f>
        <v>7.0676741130091987</v>
      </c>
      <c r="N1654" s="133">
        <f t="shared" si="2333"/>
        <v>89.534633288517142</v>
      </c>
      <c r="O1654" s="19">
        <f t="shared" si="2332"/>
        <v>7.4612194407097618</v>
      </c>
      <c r="P1654" s="96"/>
      <c r="Q1654" s="96"/>
      <c r="R1654" s="96"/>
      <c r="S1654" s="96"/>
      <c r="T1654" s="96"/>
      <c r="U1654" s="96"/>
      <c r="V1654" s="96"/>
      <c r="W1654" s="96"/>
      <c r="X1654" s="96"/>
      <c r="Y1654" s="96"/>
      <c r="Z1654" s="96"/>
    </row>
    <row r="1655" spans="1:26" s="9" customFormat="1" ht="15.75">
      <c r="A1655" s="34" t="s">
        <v>272</v>
      </c>
      <c r="B1655" s="129">
        <f t="shared" ref="B1655:C1655" si="2343">IF(B1648="","",((B1645+B1646)/2)*(100)/B1648)</f>
        <v>1.9061583577712611</v>
      </c>
      <c r="C1655" s="129">
        <f t="shared" si="2343"/>
        <v>2.6392961876832843</v>
      </c>
      <c r="D1655" s="129">
        <f t="shared" ref="D1655:E1655" si="2344">IF(D1648="","",((D1645+D1646)/2)*(100)/D1648)</f>
        <v>0.58997050147492625</v>
      </c>
      <c r="E1655" s="129">
        <f t="shared" si="2344"/>
        <v>1.4925373134328359</v>
      </c>
      <c r="F1655" s="129">
        <f t="shared" ref="F1655:G1655" si="2345">IF(F1648="","",((F1645+F1646)/2)*(100)/F1648)</f>
        <v>2.3668639053254439</v>
      </c>
      <c r="G1655" s="129">
        <f t="shared" si="2345"/>
        <v>3.5087719298245612</v>
      </c>
      <c r="H1655" s="129">
        <f t="shared" ref="H1655:I1655" si="2346">IF(H1648="","",((H1645+H1646)/2)*(100)/H1648)</f>
        <v>1.1764705882352942</v>
      </c>
      <c r="I1655" s="129">
        <f t="shared" si="2346"/>
        <v>2.0231213872832372</v>
      </c>
      <c r="J1655" s="129">
        <f t="shared" ref="J1655:K1655" si="2347">IF(J1648="","",((J1645+J1646)/2)*(100)/J1648)</f>
        <v>2.601156069364162</v>
      </c>
      <c r="K1655" s="129">
        <f t="shared" si="2347"/>
        <v>1.6034985422740524</v>
      </c>
      <c r="L1655" s="129">
        <f t="shared" ref="L1655:M1655" si="2348">IF(L1648="","",((L1645+L1646)/2)*(100)/L1648)</f>
        <v>2.1613832853025938</v>
      </c>
      <c r="M1655" s="129">
        <f t="shared" si="2348"/>
        <v>1.2968299711815563</v>
      </c>
      <c r="N1655" s="133">
        <f t="shared" si="2333"/>
        <v>23.366058039153209</v>
      </c>
      <c r="O1655" s="19">
        <f t="shared" si="2332"/>
        <v>1.9471715032627674</v>
      </c>
      <c r="P1655" s="96"/>
      <c r="Q1655" s="96"/>
      <c r="R1655" s="96"/>
      <c r="S1655" s="96"/>
      <c r="T1655" s="96"/>
      <c r="U1655" s="96"/>
      <c r="V1655" s="96"/>
      <c r="W1655" s="96"/>
      <c r="X1655" s="96"/>
      <c r="Y1655" s="96"/>
      <c r="Z1655" s="96"/>
    </row>
    <row r="1656" spans="1:26" s="9" customFormat="1" ht="15.75">
      <c r="A1656" s="34" t="s">
        <v>391</v>
      </c>
      <c r="B1656" s="170">
        <f t="shared" ref="B1656:C1656" si="2349">SUM(B1583,B1584:B1586,B1588:B1590,B1593:B1594,B1597:B1598,B1603:B1605,B1610:B1611,B1614,B1620)/B1621</f>
        <v>0.16422287390029325</v>
      </c>
      <c r="C1656" s="170">
        <f t="shared" si="2349"/>
        <v>0.15835777126099707</v>
      </c>
      <c r="D1656" s="170">
        <f t="shared" ref="D1656:E1656" si="2350">SUM(D1583,D1584:D1586,D1588:D1590,D1593:D1594,D1597:D1598,D1603:D1605,D1610:D1611,D1614,D1620)/D1621</f>
        <v>0.15634218289085547</v>
      </c>
      <c r="E1656" s="170">
        <f t="shared" si="2350"/>
        <v>0.15522388059701492</v>
      </c>
      <c r="F1656" s="170">
        <f t="shared" ref="F1656:G1656" si="2351">SUM(F1583,F1584:F1586,F1588:F1590,F1593:F1594,F1597:F1598,F1603:F1605,F1610:F1611,F1614,F1620)/F1621</f>
        <v>0.15976331360946747</v>
      </c>
      <c r="G1656" s="170">
        <f t="shared" si="2351"/>
        <v>0.15497076023391812</v>
      </c>
      <c r="H1656" s="170">
        <f t="shared" ref="H1656:I1656" si="2352">SUM(H1583,H1584:H1586,H1588:H1590,H1593:H1594,H1597:H1598,H1603:H1605,H1610:H1611,H1614,H1620)/H1621</f>
        <v>0.15588235294117647</v>
      </c>
      <c r="I1656" s="170">
        <f t="shared" si="2352"/>
        <v>0.15317919075144509</v>
      </c>
      <c r="J1656" s="170">
        <f t="shared" ref="J1656:K1656" si="2353">SUM(J1583,J1584:J1586,J1588:J1590,J1593:J1594,J1597:J1598,J1603:J1605,J1610:J1611,J1614,J1620)/J1621</f>
        <v>0.15317919075144509</v>
      </c>
      <c r="K1656" s="170">
        <f t="shared" si="2353"/>
        <v>0.14868804664723032</v>
      </c>
      <c r="L1656" s="170">
        <f t="shared" ref="L1656:M1656" si="2354">SUM(L1583,L1584:L1586,L1588:L1590,L1593:L1594,L1597:L1598,L1603:L1605,L1610:L1611,L1614,L1620)/L1621</f>
        <v>0.15714285714285714</v>
      </c>
      <c r="M1656" s="170">
        <f t="shared" si="2354"/>
        <v>0.15472779369627507</v>
      </c>
      <c r="N1656" s="193">
        <f t="shared" si="2333"/>
        <v>1.8716802144229752</v>
      </c>
      <c r="O1656" s="193">
        <f t="shared" si="2332"/>
        <v>0.15597335120191461</v>
      </c>
      <c r="P1656" s="96"/>
      <c r="Q1656" s="96"/>
      <c r="R1656" s="96"/>
      <c r="S1656" s="96"/>
      <c r="T1656" s="96"/>
      <c r="U1656" s="96"/>
      <c r="V1656" s="96"/>
      <c r="W1656" s="96"/>
      <c r="X1656" s="96"/>
      <c r="Y1656" s="96"/>
      <c r="Z1656" s="96"/>
    </row>
    <row r="1657" spans="1:26" s="9" customFormat="1" ht="15.75">
      <c r="A1657" s="34" t="s">
        <v>273</v>
      </c>
      <c r="B1657" s="170">
        <f t="shared" ref="B1657:C1657" si="2355">SUM(B1599+B1618+B1600+B1587+B1595+B1592+B1612+B1613+B1608+B1607+B1596)/B1621</f>
        <v>0.53958944281524923</v>
      </c>
      <c r="C1657" s="170">
        <f t="shared" si="2355"/>
        <v>0.54252199413489732</v>
      </c>
      <c r="D1657" s="170">
        <f t="shared" ref="D1657:E1657" si="2356">SUM(D1599+D1618+D1600+D1587+D1595+D1592+D1612+D1613+D1608+D1607+D1596)/D1621</f>
        <v>0.54277286135693215</v>
      </c>
      <c r="E1657" s="170">
        <f t="shared" si="2356"/>
        <v>0.54328358208955219</v>
      </c>
      <c r="F1657" s="170">
        <f t="shared" ref="F1657:G1657" si="2357">SUM(F1599+F1618+F1600+F1587+F1595+F1592+F1612+F1613+F1608+F1607+F1596)/F1621</f>
        <v>0.53846153846153844</v>
      </c>
      <c r="G1657" s="170">
        <f t="shared" si="2357"/>
        <v>0.54093567251461994</v>
      </c>
      <c r="H1657" s="170">
        <f t="shared" ref="H1657:I1657" si="2358">SUM(H1599+H1618+H1600+H1587+H1595+H1592+H1612+H1613+H1608+H1607+H1596)/H1621</f>
        <v>0.54117647058823526</v>
      </c>
      <c r="I1657" s="170">
        <f t="shared" si="2358"/>
        <v>0.54624277456647397</v>
      </c>
      <c r="J1657" s="170">
        <f t="shared" ref="J1657:K1657" si="2359">SUM(J1599+J1618+J1600+J1587+J1595+J1592+J1612+J1613+J1608+J1607+J1596)/J1621</f>
        <v>0.54335260115606931</v>
      </c>
      <c r="K1657" s="170">
        <f t="shared" si="2359"/>
        <v>0.54518950437317781</v>
      </c>
      <c r="L1657" s="170">
        <f t="shared" ref="L1657:M1657" si="2360">SUM(L1599+L1618+L1600+L1587+L1595+L1592+L1612+L1613+L1608+L1607+L1596)/L1621</f>
        <v>0.54285714285714282</v>
      </c>
      <c r="M1657" s="170">
        <f t="shared" si="2360"/>
        <v>0.54727793696275073</v>
      </c>
      <c r="N1657" s="193">
        <f t="shared" si="2333"/>
        <v>6.5136615218766387</v>
      </c>
      <c r="O1657" s="193">
        <f t="shared" si="2332"/>
        <v>0.54280512682305326</v>
      </c>
      <c r="P1657" s="96"/>
      <c r="Q1657" s="96"/>
      <c r="R1657" s="96"/>
      <c r="S1657" s="96"/>
      <c r="T1657" s="96"/>
      <c r="U1657" s="96"/>
      <c r="V1657" s="96"/>
      <c r="W1657" s="96"/>
      <c r="X1657" s="96"/>
      <c r="Y1657" s="96"/>
      <c r="Z1657" s="96"/>
    </row>
    <row r="1658" spans="1:26" s="9" customFormat="1" ht="15.75">
      <c r="A1658" s="34" t="s">
        <v>274</v>
      </c>
      <c r="B1658" s="170">
        <f t="shared" ref="B1658:C1658" si="2361">SUM(B1591,B1601,B1606,B1609,B1616,B1617,B1619,B1602,B1615)/B1621</f>
        <v>0.29618768328445749</v>
      </c>
      <c r="C1658" s="170">
        <f t="shared" si="2361"/>
        <v>0.29912023460410558</v>
      </c>
      <c r="D1658" s="170">
        <f t="shared" ref="D1658:E1658" si="2362">SUM(D1591,D1601,D1606,D1609,D1616,D1617,D1619,D1602,D1615)/D1621</f>
        <v>0.30088495575221241</v>
      </c>
      <c r="E1658" s="170">
        <f t="shared" si="2362"/>
        <v>0.30149253731343284</v>
      </c>
      <c r="F1658" s="170">
        <f t="shared" ref="F1658:G1658" si="2363">SUM(F1591,F1601,F1606,F1609,F1616,F1617,F1619,F1602,F1615)/F1621</f>
        <v>0.30177514792899407</v>
      </c>
      <c r="G1658" s="170">
        <f t="shared" si="2363"/>
        <v>0.30409356725146197</v>
      </c>
      <c r="H1658" s="170">
        <f t="shared" ref="H1658:I1658" si="2364">SUM(H1591,H1601,H1606,H1609,H1616,H1617,H1619,H1602,H1615)/H1621</f>
        <v>0.30294117647058821</v>
      </c>
      <c r="I1658" s="170">
        <f t="shared" si="2364"/>
        <v>0.30057803468208094</v>
      </c>
      <c r="J1658" s="170">
        <f t="shared" ref="J1658:K1658" si="2365">SUM(J1591,J1601,J1606,J1609,J1616,J1617,J1619,J1602,J1615)/J1621</f>
        <v>0.30346820809248554</v>
      </c>
      <c r="K1658" s="170">
        <f t="shared" si="2365"/>
        <v>0.30612244897959184</v>
      </c>
      <c r="L1658" s="170">
        <f t="shared" ref="L1658:M1658" si="2366">SUM(L1591,L1601,L1606,L1609,L1616,L1617,L1619,L1602,L1615)/L1621</f>
        <v>0.3</v>
      </c>
      <c r="M1658" s="170">
        <f t="shared" si="2366"/>
        <v>0.29799426934097423</v>
      </c>
      <c r="N1658" s="193">
        <f t="shared" si="2333"/>
        <v>3.614658263700385</v>
      </c>
      <c r="O1658" s="193">
        <f t="shared" si="2332"/>
        <v>0.3012215219750321</v>
      </c>
      <c r="P1658" s="96"/>
      <c r="Q1658" s="96"/>
      <c r="R1658" s="96"/>
      <c r="S1658" s="96"/>
      <c r="T1658" s="96"/>
      <c r="U1658" s="96"/>
      <c r="V1658" s="96"/>
      <c r="W1658" s="96"/>
      <c r="X1658" s="96"/>
      <c r="Y1658" s="96"/>
      <c r="Z1658" s="96"/>
    </row>
    <row r="1659" spans="1:26" s="9" customFormat="1" ht="15.75">
      <c r="A1659" s="37" t="s">
        <v>275</v>
      </c>
      <c r="B1659" s="18">
        <f t="shared" ref="B1659:C1659" si="2367">IF(B1624=0,"",B1624)</f>
        <v>21</v>
      </c>
      <c r="C1659" s="18">
        <f t="shared" si="2367"/>
        <v>21</v>
      </c>
      <c r="D1659" s="18">
        <f t="shared" ref="D1659:E1659" si="2368">IF(D1624=0,"",D1624)</f>
        <v>21</v>
      </c>
      <c r="E1659" s="18">
        <f t="shared" si="2368"/>
        <v>21</v>
      </c>
      <c r="F1659" s="18">
        <f t="shared" ref="F1659:G1659" si="2369">IF(F1624=0,"",F1624)</f>
        <v>21</v>
      </c>
      <c r="G1659" s="18">
        <f t="shared" si="2369"/>
        <v>21</v>
      </c>
      <c r="H1659" s="18">
        <f t="shared" ref="H1659:I1659" si="2370">IF(H1624=0,"",H1624)</f>
        <v>21</v>
      </c>
      <c r="I1659" s="18">
        <f t="shared" si="2370"/>
        <v>21</v>
      </c>
      <c r="J1659" s="18">
        <f t="shared" ref="J1659:K1659" si="2371">IF(J1624=0,"",J1624)</f>
        <v>21</v>
      </c>
      <c r="K1659" s="18">
        <f t="shared" si="2371"/>
        <v>21</v>
      </c>
      <c r="L1659" s="18">
        <f t="shared" ref="L1659:M1659" si="2372">IF(L1624=0,"",L1624)</f>
        <v>21</v>
      </c>
      <c r="M1659" s="18">
        <f t="shared" si="2372"/>
        <v>21</v>
      </c>
      <c r="N1659" s="133">
        <f t="shared" si="2333"/>
        <v>252</v>
      </c>
      <c r="O1659" s="19">
        <f t="shared" si="2332"/>
        <v>21</v>
      </c>
      <c r="P1659" s="96"/>
      <c r="Q1659" s="96"/>
      <c r="R1659" s="96"/>
      <c r="S1659" s="96"/>
      <c r="T1659" s="96"/>
      <c r="U1659" s="96"/>
      <c r="V1659" s="96"/>
      <c r="W1659" s="96"/>
      <c r="X1659" s="96"/>
      <c r="Y1659" s="96"/>
      <c r="Z1659" s="96"/>
    </row>
    <row r="1660" spans="1:26" s="9" customFormat="1" ht="15.75">
      <c r="A1660" s="34" t="s">
        <v>276</v>
      </c>
      <c r="B1660" s="18">
        <v>0</v>
      </c>
      <c r="C1660" s="18">
        <v>0</v>
      </c>
      <c r="D1660" s="18">
        <v>0</v>
      </c>
      <c r="E1660" s="18">
        <v>0</v>
      </c>
      <c r="F1660" s="18">
        <v>0</v>
      </c>
      <c r="G1660" s="18">
        <v>0</v>
      </c>
      <c r="H1660" s="18">
        <v>0</v>
      </c>
      <c r="I1660" s="18">
        <v>0</v>
      </c>
      <c r="J1660" s="18">
        <v>0</v>
      </c>
      <c r="K1660" s="18">
        <v>0</v>
      </c>
      <c r="L1660" s="18">
        <v>0</v>
      </c>
      <c r="M1660" s="18">
        <v>0</v>
      </c>
      <c r="N1660" s="133">
        <f t="shared" si="2333"/>
        <v>0</v>
      </c>
      <c r="O1660" s="19">
        <f t="shared" si="2332"/>
        <v>0</v>
      </c>
      <c r="P1660" s="96"/>
      <c r="Q1660" s="96"/>
      <c r="R1660" s="96"/>
      <c r="S1660" s="96"/>
      <c r="T1660" s="96"/>
      <c r="U1660" s="96"/>
      <c r="V1660" s="96"/>
      <c r="W1660" s="96"/>
      <c r="X1660" s="96"/>
      <c r="Y1660" s="96"/>
      <c r="Z1660" s="96"/>
    </row>
    <row r="1661" spans="1:26" s="9" customFormat="1" ht="15.75">
      <c r="A1661" s="34" t="s">
        <v>839</v>
      </c>
      <c r="B1661" s="18">
        <v>5</v>
      </c>
      <c r="C1661" s="18">
        <v>5</v>
      </c>
      <c r="D1661" s="18">
        <v>5</v>
      </c>
      <c r="E1661" s="18">
        <v>5</v>
      </c>
      <c r="F1661" s="18">
        <v>5</v>
      </c>
      <c r="G1661" s="18">
        <v>5</v>
      </c>
      <c r="H1661" s="18">
        <v>5</v>
      </c>
      <c r="I1661" s="18">
        <v>5</v>
      </c>
      <c r="J1661" s="18">
        <v>5</v>
      </c>
      <c r="K1661" s="18">
        <v>5</v>
      </c>
      <c r="L1661" s="18">
        <v>5</v>
      </c>
      <c r="M1661" s="18">
        <v>5</v>
      </c>
      <c r="N1661" s="133">
        <f t="shared" ref="N1661" si="2373">SUM(B1661:M1661)</f>
        <v>60</v>
      </c>
      <c r="O1661" s="19">
        <f t="shared" ref="O1661" si="2374">IF(N1661=0,0,AVERAGE(B1661:M1661))</f>
        <v>5</v>
      </c>
      <c r="P1661" s="96"/>
      <c r="Q1661" s="96"/>
      <c r="R1661" s="96"/>
      <c r="S1661" s="96"/>
      <c r="T1661" s="96"/>
      <c r="U1661" s="96"/>
      <c r="V1661" s="96"/>
      <c r="W1661" s="96"/>
      <c r="X1661" s="96"/>
      <c r="Y1661" s="96"/>
      <c r="Z1661" s="96"/>
    </row>
    <row r="1662" spans="1:26" s="9" customFormat="1">
      <c r="A1662" s="23"/>
      <c r="B1662" s="24"/>
      <c r="C1662" s="24"/>
      <c r="D1662" s="24"/>
      <c r="E1662" s="24"/>
      <c r="F1662" s="25"/>
      <c r="G1662" s="25"/>
      <c r="H1662" s="25"/>
      <c r="I1662" s="25"/>
      <c r="J1662" s="25"/>
      <c r="K1662" s="25"/>
      <c r="L1662" s="25"/>
      <c r="M1662" s="25"/>
      <c r="N1662" s="134"/>
      <c r="O1662" s="13"/>
      <c r="P1662" s="96"/>
      <c r="Q1662" s="96"/>
      <c r="R1662" s="96"/>
      <c r="S1662" s="96"/>
      <c r="T1662" s="96"/>
      <c r="U1662" s="96"/>
      <c r="V1662" s="96"/>
      <c r="W1662" s="96"/>
      <c r="X1662" s="96"/>
      <c r="Y1662" s="96"/>
      <c r="Z1662" s="96"/>
    </row>
    <row r="1663" spans="1:26" s="9" customFormat="1" ht="15.75">
      <c r="A1663" s="443" t="s">
        <v>277</v>
      </c>
      <c r="B1663" s="444"/>
      <c r="C1663" s="444"/>
      <c r="D1663" s="444"/>
      <c r="E1663" s="444"/>
      <c r="F1663" s="444"/>
      <c r="G1663" s="444"/>
      <c r="H1663" s="444"/>
      <c r="I1663" s="444"/>
      <c r="J1663" s="444"/>
      <c r="K1663" s="444"/>
      <c r="L1663" s="444"/>
      <c r="M1663" s="444"/>
      <c r="N1663" s="445"/>
      <c r="O1663" s="446"/>
      <c r="P1663" s="96"/>
      <c r="Q1663" s="96"/>
      <c r="R1663" s="96"/>
      <c r="S1663" s="96"/>
      <c r="T1663" s="96"/>
      <c r="U1663" s="96"/>
      <c r="V1663" s="96"/>
      <c r="W1663" s="96"/>
      <c r="X1663" s="96"/>
      <c r="Y1663" s="96"/>
      <c r="Z1663" s="96"/>
    </row>
    <row r="1664" spans="1:26" s="9" customFormat="1" ht="15.75">
      <c r="A1664" s="117" t="s">
        <v>278</v>
      </c>
      <c r="B1664" s="118">
        <f t="shared" ref="B1664:H1664" si="2375">B48</f>
        <v>1374</v>
      </c>
      <c r="C1664" s="118">
        <f t="shared" si="2375"/>
        <v>1395</v>
      </c>
      <c r="D1664" s="118">
        <f t="shared" si="2375"/>
        <v>1352</v>
      </c>
      <c r="E1664" s="118">
        <f t="shared" si="2375"/>
        <v>1124</v>
      </c>
      <c r="F1664" s="118">
        <f t="shared" si="2375"/>
        <v>1471</v>
      </c>
      <c r="G1664" s="118">
        <f t="shared" si="2375"/>
        <v>1344</v>
      </c>
      <c r="H1664" s="118">
        <f t="shared" si="2375"/>
        <v>1413</v>
      </c>
      <c r="I1664" s="118">
        <f t="shared" ref="I1664:J1664" si="2376">I48</f>
        <v>1426</v>
      </c>
      <c r="J1664" s="118">
        <f t="shared" si="2376"/>
        <v>1371</v>
      </c>
      <c r="K1664" s="118">
        <f t="shared" ref="K1664:L1664" si="2377">K48</f>
        <v>1488</v>
      </c>
      <c r="L1664" s="118">
        <f t="shared" si="2377"/>
        <v>1540</v>
      </c>
      <c r="M1664" s="118">
        <f t="shared" ref="M1664" si="2378">M48</f>
        <v>1522</v>
      </c>
      <c r="N1664" s="138">
        <f t="shared" ref="N1664:N1674" si="2379">SUM(B1664:M1664)</f>
        <v>16820</v>
      </c>
      <c r="O1664" s="42">
        <f t="shared" ref="O1664:O1674" si="2380">IF(N1664=0,0,AVERAGE(B1664:M1664))</f>
        <v>1401.6666666666667</v>
      </c>
      <c r="P1664" s="96"/>
      <c r="Q1664" s="96"/>
      <c r="R1664" s="96"/>
      <c r="S1664" s="96"/>
      <c r="T1664" s="96"/>
      <c r="U1664" s="96"/>
      <c r="V1664" s="96"/>
      <c r="W1664" s="96"/>
      <c r="X1664" s="96"/>
      <c r="Y1664" s="96"/>
      <c r="Z1664" s="96"/>
    </row>
    <row r="1665" spans="1:26" s="9" customFormat="1" ht="15.75">
      <c r="A1665" s="117" t="s">
        <v>77</v>
      </c>
      <c r="B1665" s="195">
        <f t="shared" ref="B1665:G1665" si="2381">B347</f>
        <v>0.63317972350230411</v>
      </c>
      <c r="C1665" s="195">
        <f t="shared" si="2381"/>
        <v>0.71173469387755106</v>
      </c>
      <c r="D1665" s="195">
        <f t="shared" si="2381"/>
        <v>0.62304147465437787</v>
      </c>
      <c r="E1665" s="195">
        <f t="shared" si="2381"/>
        <v>0.53523809523809529</v>
      </c>
      <c r="F1665" s="195">
        <f t="shared" si="2381"/>
        <v>0.6778801843317972</v>
      </c>
      <c r="G1665" s="195">
        <f t="shared" si="2381"/>
        <v>0.64</v>
      </c>
      <c r="H1665" s="195">
        <f t="shared" ref="H1665:I1665" si="2382">H347</f>
        <v>0.65115207373271888</v>
      </c>
      <c r="I1665" s="195">
        <f t="shared" si="2382"/>
        <v>0.65714285714285714</v>
      </c>
      <c r="J1665" s="195">
        <f t="shared" ref="J1665:K1665" si="2383">J347</f>
        <v>0.6528571428571428</v>
      </c>
      <c r="K1665" s="195">
        <f t="shared" si="2383"/>
        <v>0.68571428571428572</v>
      </c>
      <c r="L1665" s="195">
        <f t="shared" ref="L1665:M1665" si="2384">L347</f>
        <v>0.73333333333333328</v>
      </c>
      <c r="M1665" s="195">
        <f t="shared" si="2384"/>
        <v>0.70138248847926266</v>
      </c>
      <c r="N1665" s="195">
        <f t="shared" si="2379"/>
        <v>7.902656352863727</v>
      </c>
      <c r="O1665" s="195">
        <f t="shared" si="2380"/>
        <v>0.65855469607197725</v>
      </c>
      <c r="P1665" s="119"/>
      <c r="Q1665" s="119"/>
      <c r="R1665" s="119"/>
      <c r="S1665" s="119"/>
      <c r="T1665" s="119"/>
      <c r="U1665" s="119"/>
      <c r="V1665" s="119"/>
      <c r="W1665" s="119"/>
      <c r="X1665" s="119"/>
      <c r="Y1665" s="119"/>
      <c r="Z1665" s="119"/>
    </row>
    <row r="1666" spans="1:26" s="9" customFormat="1" ht="15.75">
      <c r="A1666" s="117" t="s">
        <v>279</v>
      </c>
      <c r="B1666" s="194">
        <f t="shared" ref="B1666:H1666" si="2385">B54</f>
        <v>44.322580645161288</v>
      </c>
      <c r="C1666" s="194">
        <f t="shared" si="2385"/>
        <v>49.821428571428577</v>
      </c>
      <c r="D1666" s="194">
        <f t="shared" si="2385"/>
        <v>43.612903225806448</v>
      </c>
      <c r="E1666" s="194">
        <f t="shared" si="2385"/>
        <v>37.466666666666669</v>
      </c>
      <c r="F1666" s="194">
        <f t="shared" si="2385"/>
        <v>47.451612903225808</v>
      </c>
      <c r="G1666" s="194">
        <f t="shared" si="2385"/>
        <v>44.8</v>
      </c>
      <c r="H1666" s="194">
        <f t="shared" si="2385"/>
        <v>45.58064516129032</v>
      </c>
      <c r="I1666" s="194">
        <f t="shared" ref="I1666:J1666" si="2386">I54</f>
        <v>46</v>
      </c>
      <c r="J1666" s="194">
        <f t="shared" si="2386"/>
        <v>45.699999999999996</v>
      </c>
      <c r="K1666" s="194">
        <f t="shared" ref="K1666:L1666" si="2387">K54</f>
        <v>48</v>
      </c>
      <c r="L1666" s="194">
        <f t="shared" si="2387"/>
        <v>51.333333333333336</v>
      </c>
      <c r="M1666" s="194">
        <f t="shared" ref="M1666" si="2388">M54</f>
        <v>49.096774193548384</v>
      </c>
      <c r="N1666" s="138">
        <f t="shared" si="2379"/>
        <v>553.18594470046082</v>
      </c>
      <c r="O1666" s="42">
        <f t="shared" si="2380"/>
        <v>46.098828725038402</v>
      </c>
      <c r="P1666" s="119"/>
      <c r="Q1666" s="119"/>
      <c r="R1666" s="119"/>
      <c r="S1666" s="119"/>
      <c r="T1666" s="119"/>
      <c r="U1666" s="119"/>
      <c r="V1666" s="119"/>
      <c r="W1666" s="119"/>
      <c r="X1666" s="119"/>
      <c r="Y1666" s="119"/>
      <c r="Z1666" s="119"/>
    </row>
    <row r="1667" spans="1:26" s="9" customFormat="1" ht="15.75">
      <c r="A1667" s="117" t="s">
        <v>80</v>
      </c>
      <c r="B1667" s="42">
        <f t="shared" ref="B1667:G1667" si="2389">B361</f>
        <v>2.7857142857142856</v>
      </c>
      <c r="C1667" s="42">
        <f t="shared" si="2389"/>
        <v>3.0142857142857142</v>
      </c>
      <c r="D1667" s="42">
        <f t="shared" si="2389"/>
        <v>2.3857142857142857</v>
      </c>
      <c r="E1667" s="42">
        <f t="shared" si="2389"/>
        <v>1.8428571428571427</v>
      </c>
      <c r="F1667" s="42">
        <f t="shared" si="2389"/>
        <v>2.9857142857142858</v>
      </c>
      <c r="G1667" s="42">
        <f t="shared" si="2389"/>
        <v>3.1428571428571428</v>
      </c>
      <c r="H1667" s="42">
        <f t="shared" ref="H1667:I1667" si="2390">H361</f>
        <v>3.5142857142857142</v>
      </c>
      <c r="I1667" s="42">
        <f t="shared" si="2390"/>
        <v>3.342857142857143</v>
      </c>
      <c r="J1667" s="42">
        <f t="shared" ref="J1667:K1667" si="2391">J361</f>
        <v>3.2714285714285714</v>
      </c>
      <c r="K1667" s="42">
        <f t="shared" si="2391"/>
        <v>3.2857142857142856</v>
      </c>
      <c r="L1667" s="42">
        <f t="shared" ref="L1667:M1667" si="2392">L361</f>
        <v>3.2</v>
      </c>
      <c r="M1667" s="42">
        <f t="shared" si="2392"/>
        <v>3.4857142857142858</v>
      </c>
      <c r="N1667" s="138">
        <f t="shared" si="2379"/>
        <v>36.25714285714286</v>
      </c>
      <c r="O1667" s="42">
        <f t="shared" si="2380"/>
        <v>3.0214285714285718</v>
      </c>
      <c r="P1667" s="96"/>
      <c r="Q1667" s="96"/>
      <c r="R1667" s="96"/>
      <c r="S1667" s="96"/>
      <c r="T1667" s="96"/>
      <c r="U1667" s="96"/>
      <c r="V1667" s="96"/>
      <c r="W1667" s="96"/>
      <c r="X1667" s="96"/>
      <c r="Y1667" s="96"/>
      <c r="Z1667" s="96"/>
    </row>
    <row r="1668" spans="1:26" s="9" customFormat="1" ht="15.75">
      <c r="A1668" s="117" t="s">
        <v>280</v>
      </c>
      <c r="B1668" s="195">
        <f t="shared" ref="B1668:G1668" si="2393">B373</f>
        <v>2.564102564102564E-2</v>
      </c>
      <c r="C1668" s="195">
        <f t="shared" si="2393"/>
        <v>5.2132701421800945E-2</v>
      </c>
      <c r="D1668" s="195">
        <f t="shared" si="2393"/>
        <v>8.3832335329341312E-2</v>
      </c>
      <c r="E1668" s="195">
        <f t="shared" si="2393"/>
        <v>0.17054263565891473</v>
      </c>
      <c r="F1668" s="195">
        <f t="shared" si="2393"/>
        <v>3.8277511961722487E-2</v>
      </c>
      <c r="G1668" s="195">
        <f t="shared" si="2393"/>
        <v>0.05</v>
      </c>
      <c r="H1668" s="195">
        <f t="shared" ref="H1668:I1668" si="2394">H373</f>
        <v>5.6910569105691054E-2</v>
      </c>
      <c r="I1668" s="195">
        <f t="shared" si="2394"/>
        <v>5.5555555555555552E-2</v>
      </c>
      <c r="J1668" s="195">
        <f t="shared" ref="J1668:K1668" si="2395">J373</f>
        <v>4.8034934497816595E-2</v>
      </c>
      <c r="K1668" s="195">
        <f t="shared" si="2395"/>
        <v>5.2173913043478258E-2</v>
      </c>
      <c r="L1668" s="195">
        <f t="shared" ref="L1668:M1668" si="2396">L373</f>
        <v>6.25E-2</v>
      </c>
      <c r="M1668" s="195">
        <f t="shared" si="2396"/>
        <v>5.737704918032787E-2</v>
      </c>
      <c r="N1668" s="195">
        <f t="shared" si="2379"/>
        <v>0.75297823139567432</v>
      </c>
      <c r="O1668" s="195">
        <f t="shared" si="2380"/>
        <v>6.2748185949639532E-2</v>
      </c>
      <c r="P1668" s="96"/>
      <c r="Q1668" s="96"/>
      <c r="R1668" s="96"/>
      <c r="S1668" s="96"/>
      <c r="T1668" s="96"/>
      <c r="U1668" s="96"/>
      <c r="V1668" s="96"/>
      <c r="W1668" s="96"/>
      <c r="X1668" s="96"/>
      <c r="Y1668" s="96"/>
      <c r="Z1668" s="96"/>
    </row>
    <row r="1669" spans="1:26" s="9" customFormat="1" ht="15.75">
      <c r="A1669" s="120" t="s">
        <v>281</v>
      </c>
      <c r="B1669" s="195">
        <v>0</v>
      </c>
      <c r="C1669" s="195">
        <v>0</v>
      </c>
      <c r="D1669" s="195">
        <v>0</v>
      </c>
      <c r="E1669" s="195">
        <v>0</v>
      </c>
      <c r="F1669" s="195">
        <v>0</v>
      </c>
      <c r="G1669" s="195">
        <v>0</v>
      </c>
      <c r="H1669" s="195">
        <v>0</v>
      </c>
      <c r="I1669" s="195">
        <v>0</v>
      </c>
      <c r="J1669" s="195">
        <v>0</v>
      </c>
      <c r="K1669" s="195">
        <v>0</v>
      </c>
      <c r="L1669" s="195">
        <v>0</v>
      </c>
      <c r="M1669" s="195">
        <v>0</v>
      </c>
      <c r="N1669" s="138">
        <f t="shared" si="2379"/>
        <v>0</v>
      </c>
      <c r="O1669" s="195">
        <f t="shared" si="2380"/>
        <v>0</v>
      </c>
      <c r="P1669" s="121"/>
      <c r="Q1669" s="121"/>
      <c r="R1669" s="121"/>
      <c r="S1669" s="121"/>
      <c r="T1669" s="121"/>
      <c r="U1669" s="121"/>
      <c r="V1669" s="121"/>
      <c r="W1669" s="121"/>
      <c r="X1669" s="121"/>
      <c r="Y1669" s="121"/>
      <c r="Z1669" s="121"/>
    </row>
    <row r="1670" spans="1:26" s="9" customFormat="1" ht="15.75">
      <c r="A1670" s="117" t="s">
        <v>1</v>
      </c>
      <c r="B1670" s="292">
        <v>4.1000000000000002E-2</v>
      </c>
      <c r="C1670" s="292">
        <v>5.6899999999999999E-2</v>
      </c>
      <c r="D1670" s="292">
        <v>4.1700000000000001E-2</v>
      </c>
      <c r="E1670" s="292">
        <v>3.8800000000000001E-2</v>
      </c>
      <c r="F1670" s="292">
        <v>3.3500000000000002E-2</v>
      </c>
      <c r="G1670" s="292">
        <v>3.1800000000000002E-2</v>
      </c>
      <c r="H1670" s="292">
        <v>3.6600000000000001E-2</v>
      </c>
      <c r="I1670" s="292">
        <v>5.9799999999999999E-2</v>
      </c>
      <c r="J1670" s="292">
        <v>5.2400000000000002E-2</v>
      </c>
      <c r="K1670" s="292">
        <v>4.3499999999999997E-2</v>
      </c>
      <c r="L1670" s="536">
        <v>4.02E-2</v>
      </c>
      <c r="M1670" s="536">
        <v>2.87E-2</v>
      </c>
      <c r="N1670" s="195">
        <f>SUM(B1670:M1670)</f>
        <v>0.50490000000000002</v>
      </c>
      <c r="O1670" s="195">
        <f t="shared" si="2380"/>
        <v>4.2075000000000001E-2</v>
      </c>
      <c r="P1670" s="121"/>
      <c r="Q1670" s="121"/>
      <c r="R1670" s="121"/>
      <c r="S1670" s="121"/>
      <c r="T1670" s="121"/>
      <c r="U1670" s="121"/>
      <c r="V1670" s="121"/>
      <c r="W1670" s="121"/>
      <c r="X1670" s="121"/>
      <c r="Y1670" s="121"/>
      <c r="Z1670" s="121"/>
    </row>
    <row r="1671" spans="1:26" s="9" customFormat="1" ht="31.5">
      <c r="A1671" s="117" t="s">
        <v>282</v>
      </c>
      <c r="B1671" s="42">
        <f t="shared" ref="B1671:G1671" si="2397">B384</f>
        <v>7.354838709677419</v>
      </c>
      <c r="C1671" s="42">
        <f t="shared" si="2397"/>
        <v>9.25</v>
      </c>
      <c r="D1671" s="42">
        <f t="shared" si="2397"/>
        <v>4.32258064516129</v>
      </c>
      <c r="E1671" s="42">
        <f t="shared" si="2397"/>
        <v>1.7333333333333334</v>
      </c>
      <c r="F1671" s="42">
        <f t="shared" si="2397"/>
        <v>6.838709677419355</v>
      </c>
      <c r="G1671" s="42">
        <f t="shared" si="2397"/>
        <v>8.2333333333333325</v>
      </c>
      <c r="H1671" s="42">
        <f t="shared" ref="H1671:I1671" si="2398">H384</f>
        <v>8.4516129032258061</v>
      </c>
      <c r="I1671" s="42">
        <f t="shared" si="2398"/>
        <v>9.67741935483871</v>
      </c>
      <c r="J1671" s="42">
        <f t="shared" ref="J1671:K1671" si="2399">J384</f>
        <v>9.3666666666666671</v>
      </c>
      <c r="K1671" s="42">
        <f t="shared" si="2399"/>
        <v>8.5483870967741939</v>
      </c>
      <c r="L1671" s="42">
        <f t="shared" ref="L1671:M1671" si="2400">L384</f>
        <v>8.8666666666666671</v>
      </c>
      <c r="M1671" s="42">
        <f t="shared" si="2400"/>
        <v>9.0967741935483879</v>
      </c>
      <c r="N1671" s="138">
        <f t="shared" si="2379"/>
        <v>91.74032258064517</v>
      </c>
      <c r="O1671" s="42">
        <f t="shared" si="2380"/>
        <v>7.6450268817204305</v>
      </c>
      <c r="P1671" s="122"/>
      <c r="Q1671" s="122"/>
      <c r="R1671" s="122"/>
      <c r="S1671" s="122"/>
      <c r="T1671" s="122"/>
      <c r="U1671" s="122"/>
      <c r="V1671" s="122"/>
      <c r="W1671" s="122"/>
      <c r="X1671" s="122"/>
      <c r="Y1671" s="122"/>
      <c r="Z1671" s="121"/>
    </row>
    <row r="1672" spans="1:26" s="127" customFormat="1" ht="31.5">
      <c r="A1672" s="120" t="s">
        <v>283</v>
      </c>
      <c r="B1672" s="42">
        <f t="shared" ref="B1672:G1672" si="2401">B535</f>
        <v>119.70967741935483</v>
      </c>
      <c r="C1672" s="42">
        <f t="shared" si="2401"/>
        <v>147.96428571428572</v>
      </c>
      <c r="D1672" s="42">
        <f t="shared" si="2401"/>
        <v>142.93548387096774</v>
      </c>
      <c r="E1672" s="42">
        <f t="shared" si="2401"/>
        <v>102.6</v>
      </c>
      <c r="F1672" s="42">
        <f t="shared" si="2401"/>
        <v>144.87096774193549</v>
      </c>
      <c r="G1672" s="42">
        <f t="shared" si="2401"/>
        <v>161.46666666666667</v>
      </c>
      <c r="H1672" s="42">
        <f t="shared" ref="H1672:I1672" si="2402">H535</f>
        <v>165.51612903225808</v>
      </c>
      <c r="I1672" s="42">
        <f t="shared" si="2402"/>
        <v>174.2258064516129</v>
      </c>
      <c r="J1672" s="42">
        <f t="shared" ref="J1672:K1672" si="2403">J535</f>
        <v>171.23333333333332</v>
      </c>
      <c r="K1672" s="42">
        <f t="shared" si="2403"/>
        <v>164.51612903225808</v>
      </c>
      <c r="L1672" s="42">
        <f t="shared" ref="L1672:M1672" si="2404">L535</f>
        <v>176.1</v>
      </c>
      <c r="M1672" s="42">
        <f t="shared" si="2404"/>
        <v>162.45161290322579</v>
      </c>
      <c r="N1672" s="138">
        <f t="shared" si="2379"/>
        <v>1833.5900921658986</v>
      </c>
      <c r="O1672" s="42">
        <f t="shared" si="2380"/>
        <v>152.79917434715821</v>
      </c>
      <c r="P1672" s="122"/>
      <c r="Q1672" s="122"/>
      <c r="R1672" s="122"/>
      <c r="S1672" s="122"/>
      <c r="T1672" s="122"/>
      <c r="U1672" s="122"/>
      <c r="V1672" s="122"/>
      <c r="W1672" s="122"/>
      <c r="X1672" s="122"/>
      <c r="Y1672" s="122"/>
      <c r="Z1672" s="126"/>
    </row>
    <row r="1673" spans="1:26" s="9" customFormat="1" ht="15.75">
      <c r="A1673" s="117" t="s">
        <v>284</v>
      </c>
      <c r="B1673" s="42">
        <f t="shared" ref="B1673:C1673" si="2405">B1449</f>
        <v>384.58064516129031</v>
      </c>
      <c r="C1673" s="42">
        <f t="shared" si="2405"/>
        <v>463.46428571428572</v>
      </c>
      <c r="D1673" s="42">
        <f t="shared" ref="D1673:E1673" si="2406">D1449</f>
        <v>453.51612903225805</v>
      </c>
      <c r="E1673" s="42">
        <f t="shared" si="2406"/>
        <v>415.06666666666666</v>
      </c>
      <c r="F1673" s="42">
        <f t="shared" ref="F1673:G1673" si="2407">F1449</f>
        <v>427.38709677419354</v>
      </c>
      <c r="G1673" s="42">
        <f t="shared" si="2407"/>
        <v>438.23333333333335</v>
      </c>
      <c r="H1673" s="42">
        <f t="shared" ref="H1673:I1673" si="2408">H1449</f>
        <v>404.16129032258067</v>
      </c>
      <c r="I1673" s="42">
        <f t="shared" si="2408"/>
        <v>441.22580645161293</v>
      </c>
      <c r="J1673" s="42">
        <f t="shared" ref="J1673:K1673" si="2409">J1449</f>
        <v>453.7</v>
      </c>
      <c r="K1673" s="42">
        <f t="shared" si="2409"/>
        <v>457.19354838709677</v>
      </c>
      <c r="L1673" s="42">
        <f t="shared" ref="L1673:M1673" si="2410">L1449</f>
        <v>460.46666666666664</v>
      </c>
      <c r="M1673" s="42">
        <f t="shared" si="2410"/>
        <v>487.51612903225805</v>
      </c>
      <c r="N1673" s="138">
        <f t="shared" si="2379"/>
        <v>5286.5115975422414</v>
      </c>
      <c r="O1673" s="42">
        <f t="shared" si="2380"/>
        <v>440.54263312852009</v>
      </c>
      <c r="P1673" s="122"/>
      <c r="Q1673" s="122"/>
      <c r="R1673" s="122"/>
      <c r="S1673" s="122"/>
      <c r="T1673" s="122"/>
      <c r="U1673" s="122"/>
      <c r="V1673" s="122"/>
      <c r="W1673" s="122"/>
      <c r="X1673" s="122"/>
      <c r="Y1673" s="122"/>
      <c r="Z1673" s="96"/>
    </row>
    <row r="1674" spans="1:26" s="9" customFormat="1" ht="15.75">
      <c r="A1674" s="117" t="s">
        <v>285</v>
      </c>
      <c r="B1674" s="42">
        <f t="shared" ref="B1674:C1674" si="2411">B1490</f>
        <v>239.47870967741932</v>
      </c>
      <c r="C1674" s="42">
        <f t="shared" si="2411"/>
        <v>264.18346428571425</v>
      </c>
      <c r="D1674" s="42">
        <f t="shared" ref="D1674:E1674" si="2412">D1490</f>
        <v>248.46354838709681</v>
      </c>
      <c r="E1674" s="42">
        <f t="shared" si="2412"/>
        <v>227.0446666666667</v>
      </c>
      <c r="F1674" s="42">
        <f t="shared" ref="F1674:G1674" si="2413">F1490</f>
        <v>251.12225806451613</v>
      </c>
      <c r="G1674" s="42">
        <f t="shared" si="2413"/>
        <v>253.553</v>
      </c>
      <c r="H1674" s="42">
        <f t="shared" ref="H1674:I1674" si="2414">H1490</f>
        <v>268.73064516129028</v>
      </c>
      <c r="I1674" s="42">
        <f t="shared" si="2414"/>
        <v>273.2896774193548</v>
      </c>
      <c r="J1674" s="42">
        <f t="shared" ref="J1674:K1674" si="2415">J1490</f>
        <v>286.32700000000006</v>
      </c>
      <c r="K1674" s="42">
        <f t="shared" si="2415"/>
        <v>263.56612903225812</v>
      </c>
      <c r="L1674" s="42">
        <f t="shared" ref="L1674:M1674" si="2416">L1490</f>
        <v>277.53433333333328</v>
      </c>
      <c r="M1674" s="42">
        <f t="shared" si="2416"/>
        <v>305.28354838709674</v>
      </c>
      <c r="N1674" s="138">
        <f t="shared" si="2379"/>
        <v>3158.5769804147467</v>
      </c>
      <c r="O1674" s="42">
        <f t="shared" si="2380"/>
        <v>263.21474836789554</v>
      </c>
    </row>
    <row r="1675" spans="1:26" ht="15.75">
      <c r="A1675" s="123"/>
      <c r="B1675" s="124"/>
      <c r="C1675" s="124"/>
      <c r="D1675" s="124"/>
      <c r="E1675" s="124"/>
      <c r="F1675" s="124"/>
      <c r="G1675" s="124"/>
      <c r="H1675" s="124"/>
      <c r="I1675" s="124"/>
      <c r="J1675" s="124"/>
      <c r="K1675" s="124"/>
      <c r="L1675" s="124"/>
      <c r="M1675" s="124"/>
      <c r="N1675" s="155"/>
      <c r="O1675" s="125"/>
    </row>
    <row r="1676" spans="1:26" ht="15.75">
      <c r="A1676" s="447" t="s">
        <v>286</v>
      </c>
      <c r="B1676" s="448">
        <v>31</v>
      </c>
      <c r="C1676" s="448">
        <v>28</v>
      </c>
      <c r="D1676" s="448">
        <v>31</v>
      </c>
      <c r="E1676" s="448">
        <v>30</v>
      </c>
      <c r="F1676" s="448">
        <v>31</v>
      </c>
      <c r="G1676" s="448">
        <v>30</v>
      </c>
      <c r="H1676" s="448">
        <v>31</v>
      </c>
      <c r="I1676" s="448">
        <v>31</v>
      </c>
      <c r="J1676" s="448">
        <v>30</v>
      </c>
      <c r="K1676" s="448">
        <v>31</v>
      </c>
      <c r="L1676" s="448">
        <v>30</v>
      </c>
      <c r="M1676" s="448">
        <v>31</v>
      </c>
      <c r="N1676" s="449">
        <f>SUM(B1676:M1676)</f>
        <v>365</v>
      </c>
      <c r="O1676" s="13"/>
    </row>
    <row r="1677" spans="1:26" ht="32.25" customHeight="1">
      <c r="A1677" s="454" t="s">
        <v>886</v>
      </c>
      <c r="B1677" s="516"/>
      <c r="C1677" s="516"/>
      <c r="D1677" s="516"/>
      <c r="E1677" s="516"/>
      <c r="F1677" s="516"/>
      <c r="G1677" s="516"/>
      <c r="H1677" s="516"/>
      <c r="I1677" s="516"/>
      <c r="J1677" s="516"/>
      <c r="K1677" s="516"/>
      <c r="L1677" s="516"/>
      <c r="M1677" s="516"/>
      <c r="N1677" s="517"/>
      <c r="O1677" s="518"/>
    </row>
    <row r="1678" spans="1:26">
      <c r="A1678" s="519"/>
      <c r="B1678" s="516"/>
      <c r="C1678" s="516"/>
      <c r="D1678" s="516"/>
      <c r="E1678" s="516"/>
      <c r="F1678" s="516"/>
      <c r="G1678" s="516"/>
      <c r="H1678" s="516"/>
      <c r="I1678" s="516"/>
      <c r="J1678" s="516"/>
      <c r="K1678" s="516"/>
      <c r="L1678" s="516"/>
      <c r="M1678" s="516"/>
      <c r="N1678" s="517"/>
      <c r="O1678" s="518"/>
    </row>
    <row r="1679" spans="1:26">
      <c r="A1679" s="519"/>
      <c r="B1679" s="516"/>
      <c r="C1679" s="516"/>
      <c r="D1679" s="516"/>
      <c r="E1679" s="516"/>
      <c r="F1679" s="516"/>
      <c r="G1679" s="516"/>
      <c r="H1679" s="516"/>
      <c r="I1679" s="516"/>
      <c r="J1679" s="516"/>
      <c r="K1679" s="516"/>
      <c r="L1679" s="516"/>
      <c r="M1679" s="516"/>
      <c r="N1679" s="517"/>
      <c r="O1679" s="518"/>
    </row>
    <row r="1680" spans="1:26" s="4" customFormat="1">
      <c r="A1680" s="519"/>
      <c r="B1680" s="516"/>
      <c r="C1680" s="516"/>
      <c r="D1680" s="516"/>
      <c r="E1680" s="516"/>
      <c r="F1680" s="516"/>
      <c r="G1680" s="516"/>
      <c r="H1680" s="516"/>
      <c r="I1680" s="516"/>
      <c r="J1680" s="516"/>
      <c r="K1680" s="516"/>
      <c r="L1680" s="516"/>
      <c r="M1680" s="516"/>
      <c r="N1680" s="517"/>
      <c r="O1680" s="518"/>
    </row>
    <row r="1681" spans="1:15">
      <c r="A1681" s="519"/>
      <c r="B1681" s="516"/>
      <c r="C1681" s="516"/>
      <c r="D1681" s="516"/>
      <c r="E1681" s="516"/>
      <c r="F1681" s="516"/>
      <c r="G1681" s="516"/>
      <c r="H1681" s="516"/>
      <c r="I1681" s="516"/>
      <c r="J1681" s="516"/>
      <c r="K1681" s="516"/>
      <c r="L1681" s="516"/>
      <c r="M1681" s="516"/>
      <c r="N1681" s="517"/>
      <c r="O1681" s="518"/>
    </row>
    <row r="1682" spans="1:15">
      <c r="A1682" s="519"/>
      <c r="B1682" s="516"/>
      <c r="C1682" s="516"/>
      <c r="D1682" s="516"/>
      <c r="E1682" s="516"/>
      <c r="F1682" s="516"/>
      <c r="G1682" s="516"/>
      <c r="H1682" s="516"/>
      <c r="I1682" s="516"/>
      <c r="J1682" s="516"/>
      <c r="K1682" s="516"/>
      <c r="L1682" s="516"/>
      <c r="M1682" s="516"/>
      <c r="N1682" s="517"/>
      <c r="O1682" s="518"/>
    </row>
    <row r="1683" spans="1:15">
      <c r="A1683" s="519"/>
      <c r="B1683" s="516"/>
      <c r="C1683" s="516"/>
      <c r="D1683" s="516"/>
      <c r="E1683" s="516"/>
      <c r="F1683" s="516"/>
      <c r="G1683" s="516"/>
      <c r="H1683" s="516"/>
      <c r="I1683" s="516"/>
      <c r="J1683" s="516"/>
      <c r="K1683" s="516"/>
      <c r="L1683" s="516"/>
      <c r="M1683" s="516"/>
      <c r="N1683" s="517"/>
      <c r="O1683" s="518"/>
    </row>
    <row r="1684" spans="1:15">
      <c r="A1684" s="519"/>
      <c r="B1684" s="516"/>
      <c r="C1684" s="516"/>
      <c r="D1684" s="516"/>
      <c r="E1684" s="516"/>
      <c r="F1684" s="516"/>
      <c r="G1684" s="516"/>
      <c r="H1684" s="516"/>
      <c r="I1684" s="516"/>
      <c r="J1684" s="516"/>
      <c r="K1684" s="516"/>
      <c r="L1684" s="516"/>
      <c r="M1684" s="516"/>
      <c r="N1684" s="517"/>
      <c r="O1684" s="518"/>
    </row>
    <row r="1685" spans="1:15" ht="15.75">
      <c r="A1685" s="519"/>
      <c r="B1685" s="516"/>
      <c r="C1685" s="516"/>
      <c r="D1685" s="516"/>
      <c r="E1685" s="516"/>
      <c r="F1685" s="516"/>
      <c r="G1685" s="516"/>
      <c r="H1685" s="516"/>
      <c r="I1685" s="516"/>
      <c r="J1685" s="516"/>
      <c r="K1685" s="516"/>
      <c r="L1685" s="516"/>
      <c r="M1685" s="516"/>
      <c r="N1685" s="371"/>
      <c r="O1685" s="520"/>
    </row>
    <row r="1686" spans="1:15" ht="15.75">
      <c r="A1686" s="519"/>
      <c r="B1686" s="516"/>
      <c r="C1686" s="516"/>
      <c r="D1686" s="516"/>
      <c r="E1686" s="516"/>
      <c r="F1686" s="516"/>
      <c r="G1686" s="516"/>
      <c r="H1686" s="516"/>
      <c r="I1686" s="516"/>
      <c r="J1686" s="516"/>
      <c r="K1686" s="516"/>
      <c r="L1686" s="516"/>
      <c r="M1686" s="516"/>
      <c r="N1686" s="371"/>
      <c r="O1686" s="520"/>
    </row>
    <row r="1687" spans="1:15">
      <c r="A1687" s="519"/>
      <c r="B1687" s="516"/>
      <c r="C1687" s="516"/>
      <c r="D1687" s="516"/>
      <c r="E1687" s="516"/>
      <c r="F1687" s="516"/>
      <c r="G1687" s="516"/>
      <c r="H1687" s="516"/>
      <c r="I1687" s="516"/>
      <c r="J1687" s="516"/>
      <c r="K1687" s="516"/>
      <c r="L1687" s="516"/>
      <c r="M1687" s="516"/>
      <c r="N1687" s="517"/>
      <c r="O1687" s="518"/>
    </row>
    <row r="1688" spans="1:15">
      <c r="A1688" s="519"/>
      <c r="B1688" s="516"/>
      <c r="C1688" s="516"/>
      <c r="D1688" s="516"/>
      <c r="E1688" s="516"/>
      <c r="F1688" s="516"/>
      <c r="G1688" s="516"/>
      <c r="H1688" s="516"/>
      <c r="I1688" s="516"/>
      <c r="J1688" s="516"/>
      <c r="K1688" s="516"/>
      <c r="L1688" s="516"/>
      <c r="M1688" s="516"/>
      <c r="N1688" s="517"/>
      <c r="O1688" s="518"/>
    </row>
    <row r="1689" spans="1:15">
      <c r="A1689" s="223"/>
      <c r="B1689" s="224"/>
      <c r="C1689" s="224"/>
      <c r="D1689" s="224"/>
      <c r="E1689" s="224"/>
      <c r="F1689" s="224"/>
      <c r="G1689" s="224"/>
      <c r="H1689" s="224"/>
      <c r="I1689" s="224"/>
      <c r="J1689" s="224"/>
      <c r="K1689" s="224"/>
      <c r="L1689" s="224"/>
      <c r="M1689" s="224"/>
      <c r="N1689" s="225"/>
      <c r="O1689" s="226"/>
    </row>
    <row r="1690" spans="1:15">
      <c r="A1690" s="223"/>
      <c r="B1690" s="224"/>
      <c r="C1690" s="224"/>
      <c r="D1690" s="224"/>
      <c r="E1690" s="224"/>
      <c r="F1690" s="224"/>
      <c r="G1690" s="224"/>
      <c r="H1690" s="224"/>
      <c r="I1690" s="224"/>
      <c r="J1690" s="224"/>
      <c r="K1690" s="224"/>
      <c r="L1690" s="224"/>
      <c r="M1690" s="224"/>
      <c r="N1690" s="225"/>
      <c r="O1690" s="226"/>
    </row>
    <row r="1691" spans="1:15">
      <c r="A1691" s="223"/>
      <c r="B1691" s="224"/>
      <c r="C1691" s="224"/>
      <c r="D1691" s="224"/>
      <c r="E1691" s="224"/>
      <c r="F1691" s="224"/>
      <c r="G1691" s="224"/>
      <c r="H1691" s="224"/>
      <c r="I1691" s="224"/>
      <c r="J1691" s="224"/>
      <c r="K1691" s="224"/>
      <c r="L1691" s="224"/>
      <c r="M1691" s="224"/>
      <c r="N1691" s="225"/>
      <c r="O1691" s="226"/>
    </row>
  </sheetData>
  <mergeCells count="3">
    <mergeCell ref="A1:O2"/>
    <mergeCell ref="A3:O4"/>
    <mergeCell ref="A859:O859"/>
  </mergeCells>
  <pageMargins left="0.51181102362204722" right="0.32" top="0.49333333333333335" bottom="0.21" header="0.31496062992125984" footer="0.24"/>
  <pageSetup paperSize="9" scale="64" fitToHeight="0" orientation="landscape" horizontalDpi="1200" verticalDpi="1200" r:id="rId1"/>
  <rowBreaks count="28" manualBreakCount="28">
    <brk id="57" max="14" man="1"/>
    <brk id="114" max="14" man="1"/>
    <brk id="171" max="14" man="1"/>
    <brk id="228" max="14" man="1"/>
    <brk id="285" max="14" man="1"/>
    <brk id="342" max="14" man="1"/>
    <brk id="399" max="14" man="1"/>
    <brk id="452" max="14" man="1"/>
    <brk id="564" max="14" man="1"/>
    <brk id="620" max="14" man="1"/>
    <brk id="676" max="14" man="1"/>
    <brk id="733" max="14" man="1"/>
    <brk id="790" max="14" man="1"/>
    <brk id="847" max="14" man="1"/>
    <brk id="904" max="14" man="1"/>
    <brk id="961" max="14" man="1"/>
    <brk id="1018" max="14" man="1"/>
    <brk id="1075" max="14" man="1"/>
    <brk id="1132" max="14" man="1"/>
    <brk id="1189" max="14" man="1"/>
    <brk id="1246" max="14" man="1"/>
    <brk id="1303" max="14" man="1"/>
    <brk id="1360" max="14" man="1"/>
    <brk id="1417" max="14" man="1"/>
    <brk id="1473" max="14" man="1"/>
    <brk id="1530" max="14" man="1"/>
    <brk id="1584" max="14" man="1"/>
    <brk id="1636" max="14" man="1"/>
  </rowBreaks>
  <ignoredErrors>
    <ignoredError sqref="N552:O552 N563:O564 N573:O574 N685:O690 N1424:O1426 O1579 N1399:O1399 N1379:O1380 N1318:O1320 N737:O742 N534:O534 N1523:O1527 N1662:O1668 N1420:O1420 N1621:O1652 N1654:O1656 N1669:N1670 B351 B1211 N1037:O1042 N1120:O1136 N1138:O1161 N967:O970 N987:O1006 O966 N972:O976 N1008:O1009 N1021:O1035 N1181:O1213 N889:O901 O1427:O1431 N1455:O1459 N1434:O1453 N1509:O1521 N1580:O1583 N1671:O1676 N1163:O1179 N1381 N1312:O1316 N1322:O1322 N1463:O1470 N1475:O1490 N1401:O1402 N860:O887 N903:O942 N1095:O1118 N760:O789 N1289:O1307 N1659:O1660 I1065" formula="1"/>
    <ignoredError sqref="B483 B1654" evalError="1"/>
    <ignoredError sqref="B1524" formulaRange="1"/>
    <ignoredError sqref="N672:O676" unlockedFormula="1"/>
    <ignoredError sqref="N1653:O1653" evalError="1" formula="1"/>
  </ignoredErrors>
  <drawing r:id="rId2"/>
  <legacy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C7F098-09CB-4CB9-B711-2824B9DEDA2C}">
  <dimension ref="A1:C5"/>
  <sheetViews>
    <sheetView tabSelected="1" workbookViewId="0">
      <selection sqref="A1:C5"/>
    </sheetView>
  </sheetViews>
  <sheetFormatPr defaultRowHeight="14.25"/>
  <cols>
    <col min="1" max="1" width="40.625" bestFit="1" customWidth="1"/>
  </cols>
  <sheetData>
    <row r="1" spans="1:3" ht="15.75">
      <c r="A1" s="14" t="s">
        <v>78</v>
      </c>
      <c r="B1" s="564" t="s">
        <v>584</v>
      </c>
      <c r="C1" s="565" t="s">
        <v>16</v>
      </c>
    </row>
    <row r="2" spans="1:3" ht="15.75">
      <c r="A2" s="37" t="s">
        <v>18</v>
      </c>
      <c r="B2" s="154">
        <v>45.752934546262772</v>
      </c>
      <c r="C2" s="111">
        <v>3.8127445455218978</v>
      </c>
    </row>
    <row r="3" spans="1:3" ht="15.75">
      <c r="A3" s="37" t="s">
        <v>19</v>
      </c>
      <c r="B3" s="133">
        <v>184.47973891646441</v>
      </c>
      <c r="C3" s="19">
        <v>15.373311576372034</v>
      </c>
    </row>
    <row r="4" spans="1:3" ht="15.75">
      <c r="A4" s="37" t="s">
        <v>20</v>
      </c>
      <c r="B4" s="133">
        <v>104.96224063213491</v>
      </c>
      <c r="C4" s="19">
        <v>8.7468533860112423</v>
      </c>
    </row>
    <row r="5" spans="1:3" ht="15.75">
      <c r="A5" s="20" t="s">
        <v>0</v>
      </c>
      <c r="B5" s="128">
        <v>68.346799038181388</v>
      </c>
      <c r="C5" s="22">
        <v>5.6955665865151159</v>
      </c>
    </row>
  </sheetData>
  <pageMargins left="0.511811024" right="0.511811024" top="0.78740157499999996" bottom="0.78740157499999996" header="0.31496062000000002" footer="0.3149606200000000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Planilha4">
    <tabColor rgb="FF7030A0"/>
  </sheetPr>
  <dimension ref="A1:M57"/>
  <sheetViews>
    <sheetView view="pageBreakPreview" topLeftCell="A4" zoomScale="85" zoomScaleNormal="70" zoomScaleSheetLayoutView="85" zoomScalePageLayoutView="55" workbookViewId="0">
      <selection activeCell="O14" sqref="O14"/>
    </sheetView>
  </sheetViews>
  <sheetFormatPr defaultRowHeight="14.25"/>
  <cols>
    <col min="1" max="1" width="45.125" bestFit="1" customWidth="1"/>
    <col min="7" max="7" width="9.75" bestFit="1" customWidth="1"/>
    <col min="8" max="8" width="8.125" bestFit="1" customWidth="1"/>
    <col min="13" max="13" width="9" customWidth="1"/>
  </cols>
  <sheetData>
    <row r="1" spans="1:13" s="4" customFormat="1" ht="15">
      <c r="A1" s="228" t="s">
        <v>2</v>
      </c>
      <c r="B1" s="231" t="s">
        <v>3</v>
      </c>
      <c r="C1" s="232" t="s">
        <v>4</v>
      </c>
      <c r="D1" s="232" t="s">
        <v>5</v>
      </c>
      <c r="E1" s="232" t="s">
        <v>6</v>
      </c>
      <c r="F1" s="232" t="s">
        <v>7</v>
      </c>
      <c r="G1" s="232" t="s">
        <v>8</v>
      </c>
      <c r="H1" s="232" t="s">
        <v>9</v>
      </c>
      <c r="I1" s="232" t="s">
        <v>10</v>
      </c>
      <c r="J1" s="232" t="s">
        <v>11</v>
      </c>
      <c r="K1" s="232" t="s">
        <v>12</v>
      </c>
      <c r="L1" s="232" t="s">
        <v>13</v>
      </c>
      <c r="M1" s="233" t="s">
        <v>14</v>
      </c>
    </row>
    <row r="2" spans="1:13" ht="15.75">
      <c r="A2" s="560" t="s">
        <v>76</v>
      </c>
      <c r="B2" s="561"/>
      <c r="C2" s="561"/>
      <c r="D2" s="561"/>
      <c r="E2" s="561"/>
      <c r="F2" s="561"/>
      <c r="G2" s="561"/>
      <c r="H2" s="561"/>
      <c r="I2" s="561"/>
      <c r="J2" s="561"/>
      <c r="K2" s="561"/>
      <c r="L2" s="561"/>
      <c r="M2" s="562"/>
    </row>
    <row r="3" spans="1:13" ht="15">
      <c r="A3" s="229" t="s">
        <v>18</v>
      </c>
      <c r="B3" s="159">
        <f>Plano_Estatístico_2021_HJB!B342</f>
        <v>0.6112903225806452</v>
      </c>
      <c r="C3" s="159">
        <f>Plano_Estatístico_2021_HJB!C342</f>
        <v>0.68928571428571428</v>
      </c>
      <c r="D3" s="159">
        <f>Plano_Estatístico_2021_HJB!D342</f>
        <v>0.52983870967741931</v>
      </c>
      <c r="E3" s="159">
        <f>Plano_Estatístico_2021_HJB!E342</f>
        <v>2.75E-2</v>
      </c>
      <c r="F3" s="159">
        <f>Plano_Estatístico_2021_HJB!F342</f>
        <v>0.63306451612903225</v>
      </c>
      <c r="G3" s="159">
        <f>Plano_Estatístico_2021_HJB!G342</f>
        <v>0.56083333333333329</v>
      </c>
      <c r="H3" s="159">
        <f>Plano_Estatístico_2021_HJB!H342</f>
        <v>0.57016129032258067</v>
      </c>
      <c r="I3" s="159">
        <f>Plano_Estatístico_2021_HJB!I342</f>
        <v>0.62177419354838714</v>
      </c>
      <c r="J3" s="159">
        <f>Plano_Estatístico_2021_HJB!J342</f>
        <v>0.55833333333333335</v>
      </c>
      <c r="K3" s="159">
        <f>Plano_Estatístico_2021_HJB!K342</f>
        <v>0.59758064516129028</v>
      </c>
      <c r="L3" s="159">
        <f>Plano_Estatístico_2021_HJB!L342</f>
        <v>0.6825</v>
      </c>
      <c r="M3" s="159">
        <f>Plano_Estatístico_2021_HJB!M342</f>
        <v>0.61048387096774193</v>
      </c>
    </row>
    <row r="4" spans="1:13" ht="15">
      <c r="A4" s="230" t="s">
        <v>19</v>
      </c>
      <c r="B4" s="159">
        <f>Plano_Estatístico_2021_HJB!B343</f>
        <v>0.74032258064516132</v>
      </c>
      <c r="C4" s="159">
        <f>Plano_Estatístico_2021_HJB!C343</f>
        <v>0.8303571428571429</v>
      </c>
      <c r="D4" s="159">
        <f>Plano_Estatístico_2021_HJB!D343</f>
        <v>0.74193548387096775</v>
      </c>
      <c r="E4" s="159">
        <f>Plano_Estatístico_2021_HJB!E343</f>
        <v>1.4566666666666668</v>
      </c>
      <c r="F4" s="159">
        <f>Plano_Estatístico_2021_HJB!F343</f>
        <v>0.80161290322580647</v>
      </c>
      <c r="G4" s="159">
        <f>Plano_Estatístico_2021_HJB!G343</f>
        <v>0.83</v>
      </c>
      <c r="H4" s="159">
        <f>Plano_Estatístico_2021_HJB!H343</f>
        <v>0.8354838709677419</v>
      </c>
      <c r="I4" s="159">
        <f>Plano_Estatístico_2021_HJB!I343</f>
        <v>0.75806451612903225</v>
      </c>
      <c r="J4" s="159">
        <f>Plano_Estatístico_2021_HJB!J343</f>
        <v>0.88833333333333331</v>
      </c>
      <c r="K4" s="159">
        <f>Plano_Estatístico_2021_HJB!K343</f>
        <v>0.8612903225806452</v>
      </c>
      <c r="L4" s="159">
        <f>Plano_Estatístico_2021_HJB!L343</f>
        <v>0.85166666666666668</v>
      </c>
      <c r="M4" s="159">
        <f>Plano_Estatístico_2021_HJB!M343</f>
        <v>0.86612903225806448</v>
      </c>
    </row>
    <row r="5" spans="1:13" ht="15">
      <c r="A5" s="230" t="s">
        <v>20</v>
      </c>
      <c r="B5" s="159">
        <f>Plano_Estatístico_2021_HJB!B344</f>
        <v>0.50645161290322582</v>
      </c>
      <c r="C5" s="159">
        <f>Plano_Estatístico_2021_HJB!C344</f>
        <v>0.56428571428571428</v>
      </c>
      <c r="D5" s="159">
        <f>Plano_Estatístico_2021_HJB!D344</f>
        <v>0.75806451612903225</v>
      </c>
      <c r="E5" s="159">
        <f>Plano_Estatístico_2021_HJB!E344</f>
        <v>0.72333333333333338</v>
      </c>
      <c r="F5" s="159">
        <f>Plano_Estatístico_2021_HJB!F344</f>
        <v>0.60967741935483866</v>
      </c>
      <c r="G5" s="159">
        <f>Plano_Estatístico_2021_HJB!G344</f>
        <v>0.57666666666666666</v>
      </c>
      <c r="H5" s="159">
        <f>Plano_Estatístico_2021_HJB!H344</f>
        <v>0.6064516129032258</v>
      </c>
      <c r="I5" s="159">
        <f>Plano_Estatístico_2021_HJB!I344</f>
        <v>0.59677419354838712</v>
      </c>
      <c r="J5" s="159">
        <f>Plano_Estatístico_2021_HJB!J344</f>
        <v>0.56000000000000005</v>
      </c>
      <c r="K5" s="159">
        <f>Plano_Estatístico_2021_HJB!K344</f>
        <v>0.68709677419354842</v>
      </c>
      <c r="L5" s="159">
        <f>Plano_Estatístico_2021_HJB!L344</f>
        <v>0.7</v>
      </c>
      <c r="M5" s="159">
        <f>Plano_Estatístico_2021_HJB!M344</f>
        <v>0.73548387096774193</v>
      </c>
    </row>
    <row r="6" spans="1:13" ht="15.75">
      <c r="A6" s="182" t="s">
        <v>77</v>
      </c>
      <c r="B6" s="157">
        <f>Plano_Estatístico_2021_HJB!B345</f>
        <v>0.63317972350230411</v>
      </c>
      <c r="C6" s="157">
        <f>Plano_Estatístico_2021_HJB!C345</f>
        <v>0.71173469387755106</v>
      </c>
      <c r="D6" s="157">
        <f>Plano_Estatístico_2021_HJB!D345</f>
        <v>0.62304147465437787</v>
      </c>
      <c r="E6" s="157">
        <f>Plano_Estatístico_2021_HJB!E345</f>
        <v>0.53523809523809529</v>
      </c>
      <c r="F6" s="157">
        <f>Plano_Estatístico_2021_HJB!F345</f>
        <v>0.6778801843317972</v>
      </c>
      <c r="G6" s="157">
        <f>Plano_Estatístico_2021_HJB!G345</f>
        <v>0.64</v>
      </c>
      <c r="H6" s="157">
        <f>Plano_Estatístico_2021_HJB!H345</f>
        <v>0.65115207373271888</v>
      </c>
      <c r="I6" s="157">
        <f>Plano_Estatístico_2021_HJB!I345</f>
        <v>0.65714285714285714</v>
      </c>
      <c r="J6" s="157">
        <f>Plano_Estatístico_2021_HJB!J345</f>
        <v>0.6528571428571428</v>
      </c>
      <c r="K6" s="157">
        <f>Plano_Estatístico_2021_HJB!K345</f>
        <v>0.68571428571428572</v>
      </c>
      <c r="L6" s="157">
        <f>Plano_Estatístico_2021_HJB!L345</f>
        <v>0.73333333333333328</v>
      </c>
      <c r="M6" s="157">
        <f>Plano_Estatístico_2021_HJB!M345</f>
        <v>0.70138248847926266</v>
      </c>
    </row>
    <row r="7" spans="1:13">
      <c r="A7" s="379"/>
      <c r="B7" s="379"/>
      <c r="C7" s="379"/>
      <c r="D7" s="379"/>
      <c r="E7" s="379"/>
      <c r="F7" s="379"/>
      <c r="G7" s="379"/>
      <c r="H7" s="379"/>
      <c r="I7" s="379"/>
      <c r="J7" s="379"/>
      <c r="K7" s="379"/>
      <c r="L7" s="379"/>
      <c r="M7" s="379"/>
    </row>
    <row r="8" spans="1:13">
      <c r="A8" s="379"/>
      <c r="B8" s="379"/>
      <c r="C8" s="379"/>
      <c r="D8" s="379"/>
      <c r="E8" s="379"/>
      <c r="F8" s="379"/>
      <c r="G8" s="379"/>
      <c r="H8" s="379"/>
      <c r="I8" s="379"/>
      <c r="J8" s="379"/>
      <c r="K8" s="379"/>
      <c r="L8" s="379"/>
      <c r="M8" s="379"/>
    </row>
    <row r="9" spans="1:13">
      <c r="A9" s="379"/>
      <c r="B9" s="379"/>
      <c r="C9" s="379"/>
      <c r="D9" s="379"/>
      <c r="E9" s="379"/>
      <c r="F9" s="379"/>
      <c r="G9" s="379"/>
      <c r="H9" s="379"/>
      <c r="I9" s="379"/>
      <c r="J9" s="379"/>
      <c r="K9" s="379"/>
      <c r="L9" s="379"/>
      <c r="M9" s="379"/>
    </row>
    <row r="10" spans="1:13">
      <c r="A10" s="379"/>
      <c r="B10" s="379"/>
      <c r="C10" s="379"/>
      <c r="D10" s="379"/>
      <c r="E10" s="379"/>
      <c r="F10" s="379"/>
      <c r="G10" s="379"/>
      <c r="H10" s="379"/>
      <c r="I10" s="379"/>
      <c r="J10" s="379"/>
      <c r="K10" s="379"/>
      <c r="L10" s="379"/>
      <c r="M10" s="379"/>
    </row>
    <row r="11" spans="1:13">
      <c r="A11" s="379"/>
      <c r="B11" s="379"/>
      <c r="C11" s="379"/>
      <c r="D11" s="379"/>
      <c r="E11" s="379"/>
      <c r="F11" s="379"/>
      <c r="G11" s="379"/>
      <c r="H11" s="379"/>
      <c r="I11" s="379"/>
      <c r="J11" s="379"/>
      <c r="K11" s="379"/>
      <c r="L11" s="379"/>
      <c r="M11" s="379"/>
    </row>
    <row r="12" spans="1:13">
      <c r="A12" s="379"/>
      <c r="B12" s="379"/>
      <c r="C12" s="379"/>
      <c r="D12" s="379"/>
      <c r="E12" s="379"/>
      <c r="F12" s="379"/>
      <c r="G12" s="379"/>
      <c r="H12" s="379"/>
      <c r="I12" s="379"/>
      <c r="J12" s="379"/>
      <c r="K12" s="379"/>
      <c r="L12" s="379"/>
      <c r="M12" s="379"/>
    </row>
    <row r="13" spans="1:13">
      <c r="A13" s="379"/>
      <c r="B13" s="379"/>
      <c r="C13" s="379"/>
      <c r="D13" s="379"/>
      <c r="E13" s="379"/>
      <c r="F13" s="379"/>
      <c r="G13" s="379"/>
      <c r="H13" s="379"/>
      <c r="I13" s="379"/>
      <c r="J13" s="379"/>
      <c r="K13" s="379"/>
      <c r="L13" s="379"/>
      <c r="M13" s="379"/>
    </row>
    <row r="14" spans="1:13">
      <c r="A14" s="379"/>
      <c r="B14" s="379"/>
      <c r="C14" s="379"/>
      <c r="D14" s="379"/>
      <c r="E14" s="379"/>
      <c r="F14" s="379"/>
      <c r="G14" s="379"/>
      <c r="H14" s="379"/>
      <c r="I14" s="379"/>
      <c r="J14" s="379"/>
      <c r="K14" s="379"/>
      <c r="L14" s="379"/>
      <c r="M14" s="379"/>
    </row>
    <row r="15" spans="1:13">
      <c r="A15" s="379"/>
      <c r="B15" s="379"/>
      <c r="C15" s="379"/>
      <c r="D15" s="379"/>
      <c r="E15" s="379"/>
      <c r="F15" s="379"/>
      <c r="G15" s="379"/>
      <c r="H15" s="379"/>
      <c r="I15" s="379"/>
      <c r="J15" s="379"/>
      <c r="K15" s="379"/>
      <c r="L15" s="379"/>
      <c r="M15" s="379"/>
    </row>
    <row r="16" spans="1:13">
      <c r="A16" s="379"/>
      <c r="B16" s="379"/>
      <c r="C16" s="379"/>
      <c r="D16" s="379"/>
      <c r="E16" s="379"/>
      <c r="F16" s="379"/>
      <c r="G16" s="379"/>
      <c r="H16" s="379"/>
      <c r="I16" s="379"/>
      <c r="J16" s="379"/>
      <c r="K16" s="379"/>
      <c r="L16" s="379"/>
      <c r="M16" s="379"/>
    </row>
    <row r="17" spans="1:13">
      <c r="A17" s="379"/>
      <c r="B17" s="379"/>
      <c r="C17" s="379"/>
      <c r="D17" s="379"/>
      <c r="E17" s="379"/>
      <c r="F17" s="379"/>
      <c r="G17" s="379"/>
      <c r="H17" s="379"/>
      <c r="I17" s="379"/>
      <c r="J17" s="379"/>
      <c r="K17" s="379"/>
      <c r="L17" s="379"/>
      <c r="M17" s="379"/>
    </row>
    <row r="18" spans="1:13">
      <c r="A18" s="379"/>
      <c r="B18" s="379"/>
      <c r="C18" s="379"/>
      <c r="D18" s="379"/>
      <c r="E18" s="379"/>
      <c r="F18" s="379"/>
      <c r="G18" s="379"/>
      <c r="H18" s="379"/>
      <c r="I18" s="379"/>
      <c r="J18" s="379"/>
      <c r="K18" s="379"/>
      <c r="L18" s="379"/>
      <c r="M18" s="379"/>
    </row>
    <row r="19" spans="1:13">
      <c r="A19" s="379"/>
      <c r="B19" s="379"/>
      <c r="C19" s="379"/>
      <c r="D19" s="379"/>
      <c r="E19" s="379"/>
      <c r="F19" s="379"/>
      <c r="G19" s="379"/>
      <c r="H19" s="379"/>
      <c r="I19" s="379"/>
      <c r="J19" s="379"/>
      <c r="K19" s="379"/>
      <c r="L19" s="379"/>
      <c r="M19" s="379"/>
    </row>
    <row r="20" spans="1:13">
      <c r="A20" s="379"/>
      <c r="B20" s="379"/>
      <c r="C20" s="379"/>
      <c r="D20" s="379"/>
      <c r="E20" s="379"/>
      <c r="F20" s="379"/>
      <c r="G20" s="379"/>
      <c r="H20" s="379"/>
      <c r="I20" s="379"/>
      <c r="J20" s="379"/>
      <c r="K20" s="379"/>
      <c r="L20" s="379"/>
      <c r="M20" s="379"/>
    </row>
    <row r="21" spans="1:13">
      <c r="A21" s="379"/>
      <c r="B21" s="379"/>
      <c r="C21" s="379"/>
      <c r="D21" s="379"/>
      <c r="E21" s="379"/>
      <c r="F21" s="379"/>
      <c r="G21" s="379"/>
      <c r="H21" s="379"/>
      <c r="I21" s="379"/>
      <c r="J21" s="379"/>
      <c r="K21" s="379"/>
      <c r="L21" s="379"/>
      <c r="M21" s="379"/>
    </row>
    <row r="22" spans="1:13">
      <c r="A22" s="379"/>
      <c r="B22" s="379"/>
      <c r="C22" s="379"/>
      <c r="D22" s="379"/>
      <c r="E22" s="379"/>
      <c r="F22" s="379"/>
      <c r="G22" s="379"/>
      <c r="H22" s="379"/>
      <c r="I22" s="379"/>
      <c r="J22" s="379"/>
      <c r="K22" s="379"/>
      <c r="L22" s="379"/>
      <c r="M22" s="379"/>
    </row>
    <row r="23" spans="1:13">
      <c r="A23" s="379"/>
      <c r="B23" s="379"/>
      <c r="C23" s="379"/>
      <c r="D23" s="379"/>
      <c r="E23" s="379"/>
      <c r="F23" s="379"/>
      <c r="G23" s="379"/>
      <c r="H23" s="379"/>
      <c r="I23" s="379"/>
      <c r="J23" s="379"/>
      <c r="K23" s="379"/>
      <c r="L23" s="379"/>
      <c r="M23" s="379"/>
    </row>
    <row r="24" spans="1:13">
      <c r="A24" s="379"/>
      <c r="B24" s="379"/>
      <c r="C24" s="379"/>
      <c r="D24" s="379"/>
      <c r="E24" s="379"/>
      <c r="F24" s="379"/>
      <c r="G24" s="379"/>
      <c r="H24" s="379"/>
      <c r="I24" s="379"/>
      <c r="J24" s="379"/>
      <c r="K24" s="379"/>
      <c r="L24" s="379"/>
      <c r="M24" s="379"/>
    </row>
    <row r="25" spans="1:13">
      <c r="A25" s="379"/>
      <c r="B25" s="379"/>
      <c r="C25" s="379"/>
      <c r="D25" s="379"/>
      <c r="E25" s="379"/>
      <c r="F25" s="379"/>
      <c r="G25" s="379"/>
      <c r="H25" s="379"/>
      <c r="I25" s="379"/>
      <c r="J25" s="379"/>
      <c r="K25" s="379"/>
      <c r="L25" s="379"/>
      <c r="M25" s="379"/>
    </row>
    <row r="26" spans="1:13">
      <c r="A26" s="379"/>
      <c r="B26" s="379"/>
      <c r="C26" s="379"/>
      <c r="D26" s="379"/>
      <c r="E26" s="379"/>
      <c r="F26" s="379"/>
      <c r="G26" s="379"/>
      <c r="H26" s="379"/>
      <c r="I26" s="379"/>
      <c r="J26" s="379"/>
      <c r="K26" s="379"/>
      <c r="L26" s="379"/>
      <c r="M26" s="379"/>
    </row>
    <row r="27" spans="1:13">
      <c r="A27" s="379"/>
      <c r="B27" s="379"/>
      <c r="C27" s="379"/>
      <c r="D27" s="379"/>
      <c r="E27" s="379"/>
      <c r="F27" s="379"/>
      <c r="G27" s="379"/>
      <c r="H27" s="379"/>
      <c r="I27" s="379"/>
      <c r="J27" s="379"/>
      <c r="K27" s="379"/>
      <c r="L27" s="379"/>
      <c r="M27" s="379"/>
    </row>
    <row r="28" spans="1:13">
      <c r="A28" s="379"/>
      <c r="B28" s="379"/>
      <c r="C28" s="379"/>
      <c r="D28" s="379"/>
      <c r="E28" s="379"/>
      <c r="F28" s="379"/>
      <c r="G28" s="379"/>
      <c r="H28" s="379"/>
      <c r="I28" s="379"/>
      <c r="J28" s="379"/>
      <c r="K28" s="379"/>
      <c r="L28" s="379"/>
      <c r="M28" s="379"/>
    </row>
    <row r="29" spans="1:13">
      <c r="A29" s="379"/>
      <c r="B29" s="379"/>
      <c r="C29" s="379"/>
      <c r="D29" s="379"/>
      <c r="E29" s="379"/>
      <c r="F29" s="379"/>
      <c r="G29" s="379"/>
      <c r="H29" s="379"/>
      <c r="I29" s="379"/>
      <c r="J29" s="379"/>
      <c r="K29" s="379"/>
      <c r="L29" s="379"/>
      <c r="M29" s="379"/>
    </row>
    <row r="30" spans="1:13">
      <c r="A30" s="379"/>
      <c r="B30" s="379"/>
      <c r="C30" s="379"/>
      <c r="D30" s="379"/>
      <c r="E30" s="379"/>
      <c r="F30" s="379"/>
      <c r="G30" s="379"/>
      <c r="H30" s="379"/>
      <c r="I30" s="379"/>
      <c r="J30" s="379"/>
      <c r="K30" s="379"/>
      <c r="L30" s="379"/>
      <c r="M30" s="379"/>
    </row>
    <row r="31" spans="1:13">
      <c r="A31" s="379"/>
      <c r="B31" s="379"/>
      <c r="C31" s="379"/>
      <c r="D31" s="379"/>
      <c r="E31" s="379"/>
      <c r="F31" s="379"/>
      <c r="G31" s="379"/>
      <c r="H31" s="379"/>
      <c r="I31" s="379"/>
      <c r="J31" s="379"/>
      <c r="K31" s="379"/>
      <c r="L31" s="379"/>
      <c r="M31" s="379"/>
    </row>
    <row r="32" spans="1:13">
      <c r="A32" s="379"/>
      <c r="B32" s="379"/>
      <c r="C32" s="379"/>
      <c r="D32" s="379"/>
      <c r="E32" s="379"/>
      <c r="F32" s="379"/>
      <c r="G32" s="379"/>
      <c r="H32" s="379"/>
      <c r="I32" s="379"/>
      <c r="J32" s="379"/>
      <c r="K32" s="379"/>
      <c r="L32" s="379"/>
      <c r="M32" s="379"/>
    </row>
    <row r="33" spans="1:13">
      <c r="A33" s="379"/>
      <c r="B33" s="379"/>
      <c r="C33" s="379"/>
      <c r="D33" s="379"/>
      <c r="E33" s="379"/>
      <c r="F33" s="379"/>
      <c r="G33" s="379"/>
      <c r="H33" s="379"/>
      <c r="I33" s="379"/>
      <c r="J33" s="379"/>
      <c r="K33" s="379"/>
      <c r="L33" s="379"/>
      <c r="M33" s="379"/>
    </row>
    <row r="34" spans="1:13">
      <c r="A34" s="379"/>
      <c r="B34" s="379"/>
      <c r="C34" s="379"/>
      <c r="D34" s="379"/>
      <c r="E34" s="379"/>
      <c r="F34" s="379"/>
      <c r="G34" s="379"/>
      <c r="H34" s="379"/>
      <c r="I34" s="379"/>
      <c r="J34" s="379"/>
      <c r="K34" s="379"/>
      <c r="L34" s="379"/>
      <c r="M34" s="379"/>
    </row>
    <row r="35" spans="1:13">
      <c r="A35" s="379"/>
      <c r="B35" s="379"/>
      <c r="C35" s="379"/>
      <c r="D35" s="379"/>
      <c r="E35" s="379"/>
      <c r="F35" s="379"/>
      <c r="G35" s="379"/>
      <c r="H35" s="379"/>
      <c r="I35" s="379"/>
      <c r="J35" s="379"/>
      <c r="K35" s="379"/>
      <c r="L35" s="379"/>
      <c r="M35" s="379"/>
    </row>
    <row r="36" spans="1:13">
      <c r="A36" s="379"/>
      <c r="B36" s="379"/>
      <c r="C36" s="379"/>
      <c r="D36" s="379"/>
      <c r="E36" s="379"/>
      <c r="F36" s="379"/>
      <c r="G36" s="379"/>
      <c r="H36" s="379"/>
      <c r="I36" s="379"/>
      <c r="J36" s="379"/>
      <c r="K36" s="379"/>
      <c r="L36" s="379"/>
      <c r="M36" s="379"/>
    </row>
    <row r="37" spans="1:13">
      <c r="A37" s="379"/>
      <c r="B37" s="379"/>
      <c r="C37" s="379"/>
      <c r="D37" s="379"/>
      <c r="E37" s="379"/>
      <c r="F37" s="379"/>
      <c r="G37" s="379"/>
      <c r="H37" s="379"/>
      <c r="I37" s="379"/>
      <c r="J37" s="379"/>
      <c r="K37" s="379"/>
      <c r="L37" s="379"/>
      <c r="M37" s="379"/>
    </row>
    <row r="38" spans="1:13">
      <c r="A38" s="379"/>
      <c r="B38" s="379"/>
      <c r="C38" s="379"/>
      <c r="D38" s="379"/>
      <c r="E38" s="379"/>
      <c r="F38" s="379"/>
      <c r="G38" s="379"/>
      <c r="H38" s="379"/>
      <c r="I38" s="379"/>
      <c r="J38" s="379"/>
      <c r="K38" s="379"/>
      <c r="L38" s="379"/>
      <c r="M38" s="379"/>
    </row>
    <row r="39" spans="1:13">
      <c r="A39" s="379"/>
      <c r="B39" s="379"/>
      <c r="C39" s="379"/>
      <c r="D39" s="379"/>
      <c r="E39" s="379"/>
      <c r="F39" s="379"/>
      <c r="G39" s="379"/>
      <c r="H39" s="379"/>
      <c r="I39" s="379"/>
      <c r="J39" s="379"/>
      <c r="K39" s="379"/>
      <c r="L39" s="379"/>
      <c r="M39" s="379"/>
    </row>
    <row r="40" spans="1:13">
      <c r="A40" s="379"/>
      <c r="B40" s="379"/>
      <c r="C40" s="379"/>
      <c r="D40" s="379"/>
      <c r="E40" s="379"/>
      <c r="F40" s="379"/>
      <c r="G40" s="379"/>
      <c r="H40" s="379"/>
      <c r="I40" s="379"/>
      <c r="J40" s="379"/>
      <c r="K40" s="379"/>
      <c r="L40" s="379"/>
      <c r="M40" s="379"/>
    </row>
    <row r="41" spans="1:13">
      <c r="A41" s="379"/>
      <c r="B41" s="379"/>
      <c r="C41" s="379"/>
      <c r="D41" s="379"/>
      <c r="E41" s="379"/>
      <c r="F41" s="379"/>
      <c r="G41" s="379"/>
      <c r="H41" s="379"/>
      <c r="I41" s="379"/>
      <c r="J41" s="379"/>
      <c r="K41" s="379"/>
      <c r="L41" s="379"/>
      <c r="M41" s="379"/>
    </row>
    <row r="42" spans="1:13">
      <c r="A42" s="379"/>
      <c r="B42" s="379"/>
      <c r="C42" s="379"/>
      <c r="D42" s="379"/>
      <c r="E42" s="379"/>
      <c r="F42" s="379"/>
      <c r="G42" s="379"/>
      <c r="H42" s="379"/>
      <c r="I42" s="379"/>
      <c r="J42" s="379"/>
      <c r="K42" s="379"/>
      <c r="L42" s="379"/>
      <c r="M42" s="379"/>
    </row>
    <row r="43" spans="1:13">
      <c r="A43" s="379"/>
      <c r="B43" s="379"/>
      <c r="C43" s="379"/>
      <c r="D43" s="379"/>
      <c r="E43" s="379"/>
      <c r="F43" s="379"/>
      <c r="G43" s="379"/>
      <c r="H43" s="379"/>
      <c r="I43" s="379"/>
      <c r="J43" s="379"/>
      <c r="K43" s="379"/>
      <c r="L43" s="379"/>
      <c r="M43" s="379"/>
    </row>
    <row r="44" spans="1:13">
      <c r="A44" s="379"/>
      <c r="B44" s="379"/>
      <c r="C44" s="379"/>
      <c r="D44" s="379"/>
      <c r="E44" s="379"/>
      <c r="F44" s="379"/>
      <c r="G44" s="379"/>
      <c r="H44" s="379"/>
      <c r="I44" s="379"/>
      <c r="J44" s="379"/>
      <c r="K44" s="379"/>
      <c r="L44" s="379"/>
      <c r="M44" s="379"/>
    </row>
    <row r="45" spans="1:13">
      <c r="A45" s="379"/>
      <c r="B45" s="379"/>
      <c r="C45" s="379"/>
      <c r="D45" s="379"/>
      <c r="E45" s="379"/>
      <c r="F45" s="379"/>
      <c r="G45" s="379"/>
      <c r="H45" s="379"/>
      <c r="I45" s="379"/>
      <c r="J45" s="379"/>
      <c r="K45" s="379"/>
      <c r="L45" s="379"/>
      <c r="M45" s="379"/>
    </row>
    <row r="46" spans="1:13">
      <c r="A46" s="379"/>
      <c r="B46" s="379"/>
      <c r="C46" s="379"/>
      <c r="D46" s="379"/>
      <c r="E46" s="379"/>
      <c r="F46" s="379"/>
      <c r="G46" s="379"/>
      <c r="H46" s="379"/>
      <c r="I46" s="379"/>
      <c r="J46" s="379"/>
      <c r="K46" s="379"/>
      <c r="L46" s="379"/>
      <c r="M46" s="379"/>
    </row>
    <row r="47" spans="1:13">
      <c r="A47" s="379"/>
      <c r="B47" s="379"/>
      <c r="C47" s="379"/>
      <c r="D47" s="379"/>
      <c r="E47" s="379"/>
      <c r="F47" s="379"/>
      <c r="G47" s="379"/>
      <c r="H47" s="379"/>
      <c r="I47" s="379"/>
      <c r="J47" s="379"/>
      <c r="K47" s="379"/>
      <c r="L47" s="379"/>
      <c r="M47" s="379"/>
    </row>
    <row r="48" spans="1:13">
      <c r="A48" s="379"/>
      <c r="B48" s="379"/>
      <c r="C48" s="379"/>
      <c r="D48" s="379"/>
      <c r="E48" s="379"/>
      <c r="F48" s="379"/>
      <c r="G48" s="379"/>
      <c r="H48" s="379"/>
      <c r="I48" s="379"/>
      <c r="J48" s="379"/>
      <c r="K48" s="379"/>
      <c r="L48" s="379"/>
      <c r="M48" s="379"/>
    </row>
    <row r="49" spans="1:13">
      <c r="A49" s="379"/>
      <c r="B49" s="379"/>
      <c r="C49" s="379"/>
      <c r="D49" s="379"/>
      <c r="E49" s="379"/>
      <c r="F49" s="379"/>
      <c r="G49" s="379"/>
      <c r="H49" s="379"/>
      <c r="I49" s="379"/>
      <c r="J49" s="379"/>
      <c r="K49" s="379"/>
      <c r="L49" s="379"/>
      <c r="M49" s="379"/>
    </row>
    <row r="50" spans="1:13">
      <c r="A50" s="379"/>
      <c r="B50" s="379"/>
      <c r="C50" s="379"/>
      <c r="D50" s="379"/>
      <c r="E50" s="379"/>
      <c r="F50" s="379"/>
      <c r="G50" s="379"/>
      <c r="H50" s="379"/>
      <c r="I50" s="379"/>
      <c r="J50" s="379"/>
      <c r="K50" s="379"/>
      <c r="L50" s="379"/>
      <c r="M50" s="379"/>
    </row>
    <row r="51" spans="1:13">
      <c r="A51" s="379"/>
      <c r="B51" s="379"/>
      <c r="C51" s="379"/>
      <c r="D51" s="379"/>
      <c r="E51" s="379"/>
      <c r="F51" s="379"/>
      <c r="G51" s="379"/>
      <c r="H51" s="379"/>
      <c r="I51" s="379"/>
      <c r="J51" s="379"/>
      <c r="K51" s="379"/>
      <c r="L51" s="379"/>
      <c r="M51" s="379"/>
    </row>
    <row r="52" spans="1:13">
      <c r="A52" s="379"/>
      <c r="B52" s="379"/>
      <c r="C52" s="379"/>
      <c r="D52" s="379"/>
      <c r="E52" s="379"/>
      <c r="F52" s="379"/>
      <c r="G52" s="379"/>
      <c r="H52" s="379"/>
      <c r="I52" s="379"/>
      <c r="J52" s="379"/>
      <c r="K52" s="379"/>
      <c r="L52" s="379"/>
      <c r="M52" s="379"/>
    </row>
    <row r="53" spans="1:13">
      <c r="A53" s="379"/>
      <c r="B53" s="379"/>
      <c r="C53" s="379"/>
      <c r="D53" s="379"/>
      <c r="E53" s="379"/>
      <c r="F53" s="379"/>
      <c r="G53" s="379"/>
      <c r="H53" s="379"/>
      <c r="I53" s="379"/>
      <c r="J53" s="379"/>
      <c r="K53" s="379"/>
      <c r="L53" s="379"/>
      <c r="M53" s="379"/>
    </row>
    <row r="54" spans="1:13">
      <c r="A54" s="379"/>
      <c r="B54" s="379"/>
      <c r="C54" s="379"/>
      <c r="D54" s="379"/>
      <c r="E54" s="379"/>
      <c r="F54" s="379"/>
      <c r="G54" s="379"/>
      <c r="H54" s="379"/>
      <c r="I54" s="379"/>
      <c r="J54" s="379"/>
      <c r="K54" s="379"/>
      <c r="L54" s="379"/>
      <c r="M54" s="379"/>
    </row>
    <row r="55" spans="1:13">
      <c r="A55" s="379"/>
      <c r="B55" s="379"/>
      <c r="C55" s="379"/>
      <c r="D55" s="379"/>
      <c r="E55" s="379"/>
      <c r="F55" s="379"/>
      <c r="G55" s="379"/>
      <c r="H55" s="379"/>
      <c r="I55" s="379"/>
      <c r="J55" s="379"/>
      <c r="K55" s="379"/>
      <c r="L55" s="379"/>
      <c r="M55" s="379"/>
    </row>
    <row r="56" spans="1:13">
      <c r="A56" s="379"/>
      <c r="B56" s="379"/>
      <c r="C56" s="379"/>
      <c r="D56" s="379"/>
      <c r="E56" s="379"/>
      <c r="F56" s="379"/>
      <c r="G56" s="379"/>
      <c r="H56" s="379"/>
      <c r="I56" s="379"/>
      <c r="J56" s="379"/>
      <c r="K56" s="379"/>
      <c r="L56" s="379"/>
      <c r="M56" s="379"/>
    </row>
    <row r="57" spans="1:13">
      <c r="A57" s="379"/>
      <c r="B57" s="379"/>
      <c r="C57" s="379"/>
      <c r="D57" s="379"/>
      <c r="E57" s="379"/>
      <c r="F57" s="379"/>
      <c r="G57" s="379"/>
      <c r="H57" s="379"/>
      <c r="I57" s="379"/>
      <c r="J57" s="379"/>
      <c r="K57" s="379"/>
      <c r="L57" s="379"/>
      <c r="M57" s="379"/>
    </row>
  </sheetData>
  <mergeCells count="1">
    <mergeCell ref="A2:M2"/>
  </mergeCells>
  <pageMargins left="0.47244094488188981" right="0.15151515151515152" top="0.23622047244094491" bottom="0.23622047244094491" header="0.31496062992125984" footer="0.31496062992125984"/>
  <pageSetup paperSize="9" scale="80" orientation="landscape" horizontalDpi="1200" verticalDpi="1200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Planilha5">
    <tabColor rgb="FF002060"/>
    <pageSetUpPr fitToPage="1"/>
  </sheetPr>
  <dimension ref="A1:Q65"/>
  <sheetViews>
    <sheetView view="pageBreakPreview" topLeftCell="A19" zoomScale="85" zoomScaleNormal="85" zoomScaleSheetLayoutView="85" zoomScalePageLayoutView="60" workbookViewId="0">
      <selection activeCell="M7" sqref="M7"/>
    </sheetView>
  </sheetViews>
  <sheetFormatPr defaultRowHeight="14.25"/>
  <cols>
    <col min="1" max="1" width="10.625" customWidth="1"/>
    <col min="2" max="2" width="11.875" customWidth="1"/>
    <col min="3" max="3" width="6.25" customWidth="1"/>
    <col min="4" max="4" width="7.5" customWidth="1"/>
    <col min="5" max="5" width="5.375" customWidth="1"/>
    <col min="7" max="7" width="28.875" customWidth="1"/>
    <col min="8" max="8" width="7.125" bestFit="1" customWidth="1"/>
    <col min="9" max="10" width="7.5" bestFit="1" customWidth="1"/>
  </cols>
  <sheetData>
    <row r="1" spans="1:17" ht="15.75" thickBot="1">
      <c r="A1" s="381"/>
      <c r="B1" s="523" t="s">
        <v>38</v>
      </c>
      <c r="C1" s="382" t="s">
        <v>12</v>
      </c>
      <c r="D1" s="382" t="s">
        <v>13</v>
      </c>
      <c r="E1" s="383" t="s">
        <v>14</v>
      </c>
      <c r="F1" s="384"/>
      <c r="G1" s="385" t="s">
        <v>39</v>
      </c>
      <c r="H1" s="384"/>
      <c r="I1" s="384"/>
      <c r="J1" s="384"/>
      <c r="K1" s="386"/>
      <c r="L1" s="386"/>
      <c r="M1" s="387"/>
      <c r="N1" s="388"/>
      <c r="O1" s="388"/>
      <c r="P1" s="388"/>
      <c r="Q1" s="237"/>
    </row>
    <row r="2" spans="1:17" ht="15.75" customHeight="1">
      <c r="A2" s="563" t="s">
        <v>40</v>
      </c>
      <c r="B2" s="527" t="s">
        <v>18</v>
      </c>
      <c r="C2" s="528">
        <v>741</v>
      </c>
      <c r="D2" s="389">
        <v>819</v>
      </c>
      <c r="E2" s="528"/>
      <c r="F2" s="384"/>
      <c r="G2" s="390" t="s">
        <v>38</v>
      </c>
      <c r="H2" s="523" t="s">
        <v>12</v>
      </c>
      <c r="I2" s="382" t="s">
        <v>13</v>
      </c>
      <c r="J2" s="383" t="s">
        <v>14</v>
      </c>
      <c r="K2" s="386"/>
      <c r="L2" s="386"/>
      <c r="M2" s="387"/>
      <c r="N2" s="388"/>
      <c r="O2" s="388"/>
      <c r="P2" s="388"/>
      <c r="Q2" s="237"/>
    </row>
    <row r="3" spans="1:17" ht="15">
      <c r="A3" s="563"/>
      <c r="B3" s="527" t="s">
        <v>19</v>
      </c>
      <c r="C3" s="528">
        <v>534</v>
      </c>
      <c r="D3" s="389">
        <v>511</v>
      </c>
      <c r="E3" s="528"/>
      <c r="F3" s="384"/>
      <c r="G3" s="391" t="s">
        <v>41</v>
      </c>
      <c r="H3" s="524">
        <v>0.59758064516129028</v>
      </c>
      <c r="I3" s="392">
        <v>0.6825</v>
      </c>
      <c r="J3" s="524"/>
      <c r="K3" s="386"/>
      <c r="L3" s="393"/>
      <c r="M3" s="394"/>
      <c r="N3" s="388"/>
      <c r="O3" s="388"/>
      <c r="P3" s="388"/>
      <c r="Q3" s="237"/>
    </row>
    <row r="4" spans="1:17" ht="15.75" thickBot="1">
      <c r="A4" s="563"/>
      <c r="B4" s="529" t="s">
        <v>43</v>
      </c>
      <c r="C4" s="531">
        <v>213</v>
      </c>
      <c r="D4" s="530">
        <v>210</v>
      </c>
      <c r="E4" s="531"/>
      <c r="F4" s="384"/>
      <c r="G4" s="395" t="s">
        <v>19</v>
      </c>
      <c r="H4" s="524">
        <v>0.8612903225806452</v>
      </c>
      <c r="I4" s="392">
        <v>0.85166666666666668</v>
      </c>
      <c r="J4" s="524"/>
      <c r="K4" s="386"/>
      <c r="L4" s="393"/>
      <c r="M4" s="394"/>
      <c r="N4" s="388"/>
      <c r="O4" s="388"/>
      <c r="P4" s="388"/>
      <c r="Q4" s="237"/>
    </row>
    <row r="5" spans="1:17" ht="15">
      <c r="A5" s="396" t="s">
        <v>21</v>
      </c>
      <c r="B5" s="532" t="s">
        <v>44</v>
      </c>
      <c r="C5" s="382" t="s">
        <v>12</v>
      </c>
      <c r="D5" s="382" t="s">
        <v>13</v>
      </c>
      <c r="E5" s="383" t="s">
        <v>14</v>
      </c>
      <c r="F5" s="384"/>
      <c r="G5" s="395" t="s">
        <v>43</v>
      </c>
      <c r="H5" s="524">
        <v>0.68709677419354842</v>
      </c>
      <c r="I5" s="392">
        <v>0.7</v>
      </c>
      <c r="J5" s="524"/>
      <c r="K5" s="386"/>
      <c r="L5" s="393"/>
      <c r="M5" s="394"/>
      <c r="N5" s="388"/>
      <c r="O5" s="388"/>
      <c r="P5" s="388"/>
      <c r="Q5" s="237"/>
    </row>
    <row r="6" spans="1:17" ht="15" customHeight="1" thickBot="1">
      <c r="A6" s="563" t="s">
        <v>46</v>
      </c>
      <c r="B6" s="527" t="s">
        <v>41</v>
      </c>
      <c r="C6" s="533">
        <v>1240</v>
      </c>
      <c r="D6" s="397">
        <v>1200</v>
      </c>
      <c r="E6" s="533"/>
      <c r="F6" s="384"/>
      <c r="G6" s="398" t="s">
        <v>47</v>
      </c>
      <c r="H6" s="526">
        <v>0.68571428571428572</v>
      </c>
      <c r="I6" s="525">
        <v>0.73333333333333328</v>
      </c>
      <c r="J6" s="526"/>
      <c r="K6" s="386"/>
      <c r="L6" s="386"/>
      <c r="M6" s="394"/>
      <c r="N6" s="388"/>
      <c r="O6" s="388"/>
      <c r="P6" s="388"/>
      <c r="Q6" s="237"/>
    </row>
    <row r="7" spans="1:17" ht="15">
      <c r="A7" s="563"/>
      <c r="B7" s="527" t="s">
        <v>19</v>
      </c>
      <c r="C7" s="533">
        <v>620</v>
      </c>
      <c r="D7" s="397">
        <v>600</v>
      </c>
      <c r="E7" s="533"/>
      <c r="F7" s="384"/>
      <c r="G7" s="384"/>
      <c r="H7" s="399"/>
      <c r="I7" s="399"/>
      <c r="J7" s="399"/>
      <c r="K7" s="386"/>
      <c r="L7" s="386"/>
      <c r="M7" s="387"/>
      <c r="N7" s="388"/>
      <c r="O7" s="388"/>
      <c r="P7" s="388"/>
      <c r="Q7" s="237"/>
    </row>
    <row r="8" spans="1:17" ht="15">
      <c r="A8" s="563"/>
      <c r="B8" s="527" t="s">
        <v>43</v>
      </c>
      <c r="C8" s="533">
        <v>310</v>
      </c>
      <c r="D8" s="397">
        <v>300</v>
      </c>
      <c r="E8" s="533"/>
      <c r="F8" s="384"/>
      <c r="G8" s="384"/>
      <c r="H8" s="384"/>
      <c r="I8" s="384"/>
      <c r="J8" s="384"/>
      <c r="K8" s="386"/>
      <c r="L8" s="386"/>
      <c r="M8" s="387"/>
      <c r="N8" s="388"/>
      <c r="O8" s="388"/>
      <c r="P8" s="388"/>
      <c r="Q8" s="237"/>
    </row>
    <row r="9" spans="1:17" ht="15.75" thickBot="1">
      <c r="A9" s="400" t="s">
        <v>21</v>
      </c>
      <c r="B9" s="534" t="s">
        <v>44</v>
      </c>
      <c r="C9" s="401">
        <f>SUM(C6:C8)</f>
        <v>2170</v>
      </c>
      <c r="D9" s="401">
        <f>SUM(D6:D8)</f>
        <v>2100</v>
      </c>
      <c r="E9" s="402">
        <f>SUM(E6:E8)</f>
        <v>0</v>
      </c>
      <c r="F9" s="384"/>
      <c r="G9" s="384"/>
      <c r="H9" s="384"/>
      <c r="I9" s="384"/>
      <c r="J9" s="384"/>
      <c r="K9" s="386"/>
      <c r="L9" s="386"/>
      <c r="M9" s="387"/>
      <c r="N9" s="388"/>
      <c r="O9" s="388"/>
      <c r="P9" s="388"/>
      <c r="Q9" s="237"/>
    </row>
    <row r="10" spans="1:17" s="234" customFormat="1" ht="15">
      <c r="A10" s="403"/>
      <c r="B10" s="403"/>
      <c r="C10" s="403"/>
      <c r="D10" s="403"/>
      <c r="E10" s="403"/>
      <c r="F10" s="403"/>
      <c r="G10" s="403"/>
      <c r="H10" s="403"/>
      <c r="I10" s="403"/>
      <c r="J10" s="403"/>
      <c r="K10" s="403"/>
      <c r="L10" s="403"/>
      <c r="M10" s="404"/>
      <c r="N10" s="405"/>
      <c r="O10" s="405"/>
      <c r="P10" s="405"/>
      <c r="Q10" s="238"/>
    </row>
    <row r="11" spans="1:17" ht="15">
      <c r="A11" s="386"/>
      <c r="B11" s="386"/>
      <c r="C11" s="386"/>
      <c r="D11" s="386"/>
      <c r="E11" s="386"/>
      <c r="F11" s="386"/>
      <c r="G11" s="386"/>
      <c r="H11" s="386"/>
      <c r="I11" s="386"/>
      <c r="J11" s="386"/>
      <c r="K11" s="386"/>
      <c r="L11" s="386"/>
      <c r="M11" s="387"/>
      <c r="N11" s="388"/>
      <c r="O11" s="388"/>
      <c r="P11" s="388"/>
      <c r="Q11" s="237"/>
    </row>
    <row r="12" spans="1:17" ht="15">
      <c r="A12" s="386"/>
      <c r="B12" s="386"/>
      <c r="C12" s="386"/>
      <c r="D12" s="386"/>
      <c r="E12" s="386"/>
      <c r="F12" s="386"/>
      <c r="G12" s="386"/>
      <c r="H12" s="386"/>
      <c r="I12" s="386"/>
      <c r="J12" s="386"/>
      <c r="K12" s="386"/>
      <c r="L12" s="386"/>
      <c r="M12" s="387"/>
      <c r="N12" s="388"/>
      <c r="O12" s="388"/>
      <c r="P12" s="388"/>
      <c r="Q12" s="237"/>
    </row>
    <row r="13" spans="1:17" ht="15">
      <c r="A13" s="386"/>
      <c r="B13" s="386"/>
      <c r="C13" s="386"/>
      <c r="D13" s="386"/>
      <c r="E13" s="386"/>
      <c r="F13" s="386"/>
      <c r="G13" s="386"/>
      <c r="H13" s="386"/>
      <c r="I13" s="386"/>
      <c r="J13" s="386"/>
      <c r="K13" s="386"/>
      <c r="L13" s="386"/>
      <c r="M13" s="387"/>
      <c r="N13" s="388"/>
      <c r="O13" s="388"/>
      <c r="P13" s="388"/>
      <c r="Q13" s="237"/>
    </row>
    <row r="14" spans="1:17">
      <c r="A14" s="387"/>
      <c r="B14" s="387"/>
      <c r="C14" s="387"/>
      <c r="D14" s="387"/>
      <c r="E14" s="387"/>
      <c r="F14" s="387"/>
      <c r="G14" s="387"/>
      <c r="H14" s="387"/>
      <c r="I14" s="387"/>
      <c r="J14" s="387"/>
      <c r="K14" s="387"/>
      <c r="L14" s="387"/>
      <c r="M14" s="387"/>
      <c r="N14" s="388"/>
      <c r="O14" s="388"/>
      <c r="P14" s="388"/>
      <c r="Q14" s="237"/>
    </row>
    <row r="15" spans="1:17">
      <c r="A15" s="387"/>
      <c r="B15" s="387"/>
      <c r="C15" s="387"/>
      <c r="D15" s="387"/>
      <c r="E15" s="387"/>
      <c r="F15" s="387"/>
      <c r="G15" s="387"/>
      <c r="H15" s="387"/>
      <c r="I15" s="387"/>
      <c r="J15" s="387"/>
      <c r="K15" s="387"/>
      <c r="L15" s="387"/>
      <c r="M15" s="387"/>
      <c r="N15" s="388"/>
      <c r="O15" s="388"/>
      <c r="P15" s="388"/>
      <c r="Q15" s="237"/>
    </row>
    <row r="16" spans="1:17">
      <c r="A16" s="387"/>
      <c r="B16" s="387"/>
      <c r="C16" s="387"/>
      <c r="D16" s="387"/>
      <c r="E16" s="387"/>
      <c r="F16" s="387"/>
      <c r="G16" s="387"/>
      <c r="H16" s="387"/>
      <c r="I16" s="387"/>
      <c r="J16" s="387"/>
      <c r="K16" s="387"/>
      <c r="L16" s="387"/>
      <c r="M16" s="387"/>
      <c r="N16" s="388"/>
      <c r="O16" s="388"/>
      <c r="P16" s="388"/>
      <c r="Q16" s="237"/>
    </row>
    <row r="17" spans="1:17">
      <c r="A17" s="387"/>
      <c r="B17" s="387"/>
      <c r="C17" s="387"/>
      <c r="D17" s="387"/>
      <c r="E17" s="387"/>
      <c r="F17" s="387"/>
      <c r="G17" s="387"/>
      <c r="H17" s="387"/>
      <c r="I17" s="387"/>
      <c r="J17" s="387"/>
      <c r="K17" s="387"/>
      <c r="L17" s="387"/>
      <c r="M17" s="387"/>
      <c r="N17" s="388"/>
      <c r="O17" s="388"/>
      <c r="P17" s="388"/>
      <c r="Q17" s="237"/>
    </row>
    <row r="18" spans="1:17">
      <c r="A18" s="387"/>
      <c r="B18" s="387"/>
      <c r="C18" s="387"/>
      <c r="D18" s="387"/>
      <c r="E18" s="387"/>
      <c r="F18" s="387"/>
      <c r="G18" s="387"/>
      <c r="H18" s="387"/>
      <c r="I18" s="387"/>
      <c r="J18" s="387"/>
      <c r="K18" s="387"/>
      <c r="L18" s="387"/>
      <c r="M18" s="387"/>
      <c r="N18" s="388"/>
      <c r="O18" s="388"/>
      <c r="P18" s="388"/>
      <c r="Q18" s="237"/>
    </row>
    <row r="19" spans="1:17">
      <c r="A19" s="387"/>
      <c r="B19" s="387"/>
      <c r="C19" s="387"/>
      <c r="D19" s="387"/>
      <c r="E19" s="387"/>
      <c r="F19" s="387"/>
      <c r="G19" s="387"/>
      <c r="H19" s="387"/>
      <c r="I19" s="387"/>
      <c r="J19" s="387"/>
      <c r="K19" s="387"/>
      <c r="L19" s="387"/>
      <c r="M19" s="387"/>
      <c r="N19" s="388"/>
      <c r="O19" s="388"/>
      <c r="P19" s="388"/>
      <c r="Q19" s="237"/>
    </row>
    <row r="20" spans="1:17">
      <c r="A20" s="387"/>
      <c r="B20" s="387"/>
      <c r="C20" s="387"/>
      <c r="D20" s="387"/>
      <c r="E20" s="387"/>
      <c r="F20" s="387"/>
      <c r="G20" s="387"/>
      <c r="H20" s="387"/>
      <c r="I20" s="387"/>
      <c r="J20" s="387"/>
      <c r="K20" s="387"/>
      <c r="L20" s="387"/>
      <c r="M20" s="387"/>
      <c r="N20" s="388"/>
      <c r="O20" s="388"/>
      <c r="P20" s="388"/>
      <c r="Q20" s="237"/>
    </row>
    <row r="21" spans="1:17">
      <c r="A21" s="387"/>
      <c r="B21" s="387"/>
      <c r="C21" s="387"/>
      <c r="D21" s="387"/>
      <c r="E21" s="387"/>
      <c r="F21" s="387"/>
      <c r="G21" s="387"/>
      <c r="H21" s="387"/>
      <c r="I21" s="387"/>
      <c r="J21" s="387"/>
      <c r="K21" s="387"/>
      <c r="L21" s="387"/>
      <c r="M21" s="387"/>
      <c r="N21" s="388"/>
      <c r="O21" s="388"/>
      <c r="P21" s="388"/>
      <c r="Q21" s="237"/>
    </row>
    <row r="22" spans="1:17">
      <c r="A22" s="387"/>
      <c r="B22" s="387"/>
      <c r="C22" s="387"/>
      <c r="D22" s="387"/>
      <c r="E22" s="387"/>
      <c r="F22" s="387"/>
      <c r="G22" s="387"/>
      <c r="H22" s="387"/>
      <c r="I22" s="387"/>
      <c r="J22" s="387"/>
      <c r="K22" s="387"/>
      <c r="L22" s="387"/>
      <c r="M22" s="387"/>
      <c r="N22" s="388"/>
      <c r="O22" s="388"/>
      <c r="P22" s="388"/>
      <c r="Q22" s="237"/>
    </row>
    <row r="23" spans="1:17">
      <c r="A23" s="387"/>
      <c r="B23" s="387"/>
      <c r="C23" s="387"/>
      <c r="D23" s="387"/>
      <c r="E23" s="387"/>
      <c r="F23" s="387"/>
      <c r="G23" s="387"/>
      <c r="H23" s="387"/>
      <c r="I23" s="387"/>
      <c r="J23" s="387"/>
      <c r="K23" s="387"/>
      <c r="L23" s="387"/>
      <c r="M23" s="387"/>
      <c r="N23" s="388"/>
      <c r="O23" s="388"/>
      <c r="P23" s="388"/>
      <c r="Q23" s="237"/>
    </row>
    <row r="24" spans="1:17">
      <c r="A24" s="387"/>
      <c r="B24" s="387"/>
      <c r="C24" s="387"/>
      <c r="D24" s="387"/>
      <c r="E24" s="387"/>
      <c r="F24" s="387"/>
      <c r="G24" s="387"/>
      <c r="H24" s="387"/>
      <c r="I24" s="387"/>
      <c r="J24" s="387"/>
      <c r="K24" s="387"/>
      <c r="L24" s="387"/>
      <c r="M24" s="387"/>
      <c r="N24" s="388"/>
      <c r="O24" s="388"/>
      <c r="P24" s="388"/>
      <c r="Q24" s="237"/>
    </row>
    <row r="25" spans="1:17">
      <c r="A25" s="387"/>
      <c r="B25" s="387"/>
      <c r="C25" s="387"/>
      <c r="D25" s="387"/>
      <c r="E25" s="387"/>
      <c r="F25" s="387"/>
      <c r="G25" s="387"/>
      <c r="H25" s="387"/>
      <c r="I25" s="387"/>
      <c r="J25" s="387"/>
      <c r="K25" s="387"/>
      <c r="L25" s="387"/>
      <c r="M25" s="387"/>
      <c r="N25" s="388"/>
      <c r="O25" s="388"/>
      <c r="P25" s="388"/>
      <c r="Q25" s="237"/>
    </row>
    <row r="26" spans="1:17">
      <c r="A26" s="387"/>
      <c r="B26" s="387"/>
      <c r="C26" s="387"/>
      <c r="D26" s="387"/>
      <c r="E26" s="387"/>
      <c r="F26" s="387"/>
      <c r="G26" s="387"/>
      <c r="H26" s="387"/>
      <c r="I26" s="387"/>
      <c r="J26" s="387"/>
      <c r="K26" s="387"/>
      <c r="L26" s="387"/>
      <c r="M26" s="387"/>
      <c r="N26" s="388"/>
      <c r="O26" s="388"/>
      <c r="P26" s="388"/>
      <c r="Q26" s="237"/>
    </row>
    <row r="27" spans="1:17">
      <c r="A27" s="387"/>
      <c r="B27" s="387"/>
      <c r="C27" s="387"/>
      <c r="D27" s="387"/>
      <c r="E27" s="387"/>
      <c r="F27" s="387"/>
      <c r="G27" s="387"/>
      <c r="H27" s="387"/>
      <c r="I27" s="387"/>
      <c r="J27" s="387"/>
      <c r="K27" s="387"/>
      <c r="L27" s="387"/>
      <c r="M27" s="387"/>
      <c r="N27" s="388"/>
      <c r="O27" s="388"/>
      <c r="P27" s="388"/>
      <c r="Q27" s="237"/>
    </row>
    <row r="28" spans="1:17">
      <c r="A28" s="387"/>
      <c r="B28" s="387"/>
      <c r="C28" s="387"/>
      <c r="D28" s="387"/>
      <c r="E28" s="387"/>
      <c r="F28" s="387"/>
      <c r="G28" s="387"/>
      <c r="H28" s="387"/>
      <c r="I28" s="387"/>
      <c r="J28" s="387"/>
      <c r="K28" s="387"/>
      <c r="L28" s="387"/>
      <c r="M28" s="387"/>
      <c r="N28" s="388"/>
      <c r="O28" s="388"/>
      <c r="P28" s="388"/>
      <c r="Q28" s="237"/>
    </row>
    <row r="29" spans="1:17">
      <c r="A29" s="387"/>
      <c r="B29" s="387"/>
      <c r="C29" s="387"/>
      <c r="D29" s="387"/>
      <c r="E29" s="387"/>
      <c r="F29" s="387"/>
      <c r="G29" s="387"/>
      <c r="H29" s="387"/>
      <c r="I29" s="387"/>
      <c r="J29" s="387"/>
      <c r="K29" s="387"/>
      <c r="L29" s="387"/>
      <c r="M29" s="387"/>
      <c r="N29" s="388"/>
      <c r="O29" s="388"/>
      <c r="P29" s="388"/>
      <c r="Q29" s="237"/>
    </row>
    <row r="30" spans="1:17">
      <c r="A30" s="387"/>
      <c r="B30" s="387"/>
      <c r="C30" s="387"/>
      <c r="D30" s="387"/>
      <c r="E30" s="387"/>
      <c r="F30" s="387"/>
      <c r="G30" s="387"/>
      <c r="H30" s="387"/>
      <c r="I30" s="387"/>
      <c r="J30" s="387"/>
      <c r="K30" s="387"/>
      <c r="L30" s="387"/>
      <c r="M30" s="387"/>
      <c r="N30" s="388"/>
      <c r="O30" s="388"/>
      <c r="P30" s="388"/>
      <c r="Q30" s="237"/>
    </row>
    <row r="31" spans="1:17">
      <c r="A31" s="387"/>
      <c r="B31" s="387"/>
      <c r="C31" s="387"/>
      <c r="D31" s="387"/>
      <c r="E31" s="387"/>
      <c r="F31" s="387"/>
      <c r="G31" s="387"/>
      <c r="H31" s="387"/>
      <c r="I31" s="387"/>
      <c r="J31" s="387"/>
      <c r="K31" s="387"/>
      <c r="L31" s="387"/>
      <c r="M31" s="387"/>
      <c r="N31" s="388"/>
      <c r="O31" s="388"/>
      <c r="P31" s="388"/>
      <c r="Q31" s="237"/>
    </row>
    <row r="32" spans="1:17">
      <c r="A32" s="387"/>
      <c r="B32" s="387"/>
      <c r="C32" s="387"/>
      <c r="D32" s="387"/>
      <c r="E32" s="387"/>
      <c r="F32" s="387"/>
      <c r="G32" s="387"/>
      <c r="H32" s="387"/>
      <c r="I32" s="387"/>
      <c r="J32" s="387"/>
      <c r="K32" s="387"/>
      <c r="L32" s="387"/>
      <c r="M32" s="387"/>
      <c r="N32" s="388"/>
      <c r="O32" s="388"/>
      <c r="P32" s="388"/>
      <c r="Q32" s="237"/>
    </row>
    <row r="33" spans="1:17">
      <c r="A33" s="387"/>
      <c r="B33" s="387"/>
      <c r="C33" s="387"/>
      <c r="D33" s="387"/>
      <c r="E33" s="387"/>
      <c r="F33" s="387"/>
      <c r="G33" s="387"/>
      <c r="H33" s="387"/>
      <c r="I33" s="387"/>
      <c r="J33" s="387"/>
      <c r="K33" s="387"/>
      <c r="L33" s="387"/>
      <c r="M33" s="387"/>
      <c r="N33" s="388"/>
      <c r="O33" s="388"/>
      <c r="P33" s="388"/>
      <c r="Q33" s="237"/>
    </row>
    <row r="34" spans="1:17">
      <c r="A34" s="387"/>
      <c r="B34" s="387"/>
      <c r="C34" s="387"/>
      <c r="D34" s="387"/>
      <c r="E34" s="387"/>
      <c r="F34" s="387"/>
      <c r="G34" s="387"/>
      <c r="H34" s="387"/>
      <c r="I34" s="387"/>
      <c r="J34" s="387"/>
      <c r="K34" s="387"/>
      <c r="L34" s="387"/>
      <c r="M34" s="387"/>
      <c r="N34" s="388"/>
      <c r="O34" s="388"/>
      <c r="P34" s="388"/>
      <c r="Q34" s="237"/>
    </row>
    <row r="35" spans="1:17">
      <c r="A35" s="387"/>
      <c r="B35" s="387"/>
      <c r="C35" s="387"/>
      <c r="D35" s="387"/>
      <c r="E35" s="387"/>
      <c r="F35" s="387"/>
      <c r="G35" s="387"/>
      <c r="H35" s="387"/>
      <c r="I35" s="387"/>
      <c r="J35" s="387"/>
      <c r="K35" s="387"/>
      <c r="L35" s="387"/>
      <c r="M35" s="387"/>
      <c r="N35" s="388"/>
      <c r="O35" s="388"/>
      <c r="P35" s="388"/>
      <c r="Q35" s="237"/>
    </row>
    <row r="36" spans="1:17">
      <c r="A36" s="387"/>
      <c r="B36" s="387"/>
      <c r="C36" s="387"/>
      <c r="D36" s="387"/>
      <c r="E36" s="387"/>
      <c r="F36" s="387"/>
      <c r="G36" s="387"/>
      <c r="H36" s="387"/>
      <c r="I36" s="387"/>
      <c r="J36" s="387"/>
      <c r="K36" s="387"/>
      <c r="L36" s="387"/>
      <c r="M36" s="387"/>
      <c r="N36" s="388"/>
      <c r="O36" s="388"/>
      <c r="P36" s="388"/>
      <c r="Q36" s="237"/>
    </row>
    <row r="37" spans="1:17">
      <c r="A37" s="387"/>
      <c r="B37" s="387"/>
      <c r="C37" s="387"/>
      <c r="D37" s="387"/>
      <c r="E37" s="387"/>
      <c r="F37" s="387"/>
      <c r="G37" s="387"/>
      <c r="H37" s="387"/>
      <c r="I37" s="387"/>
      <c r="J37" s="387"/>
      <c r="K37" s="387"/>
      <c r="L37" s="387"/>
      <c r="M37" s="387"/>
      <c r="N37" s="388"/>
      <c r="O37" s="388"/>
      <c r="P37" s="388"/>
      <c r="Q37" s="237"/>
    </row>
    <row r="38" spans="1:17">
      <c r="A38" s="387"/>
      <c r="B38" s="387"/>
      <c r="C38" s="387"/>
      <c r="D38" s="387"/>
      <c r="E38" s="387"/>
      <c r="F38" s="387"/>
      <c r="G38" s="387"/>
      <c r="H38" s="387"/>
      <c r="I38" s="387"/>
      <c r="J38" s="387"/>
      <c r="K38" s="387"/>
      <c r="L38" s="387"/>
      <c r="M38" s="387"/>
      <c r="N38" s="388"/>
      <c r="O38" s="388"/>
      <c r="P38" s="388"/>
      <c r="Q38" s="237"/>
    </row>
    <row r="39" spans="1:17">
      <c r="A39" s="387"/>
      <c r="B39" s="387"/>
      <c r="C39" s="387"/>
      <c r="D39" s="387"/>
      <c r="E39" s="387"/>
      <c r="F39" s="387"/>
      <c r="G39" s="387"/>
      <c r="H39" s="387"/>
      <c r="I39" s="387"/>
      <c r="J39" s="387"/>
      <c r="K39" s="387"/>
      <c r="L39" s="387"/>
      <c r="M39" s="387"/>
      <c r="N39" s="388"/>
      <c r="O39" s="388"/>
      <c r="P39" s="388"/>
      <c r="Q39" s="237"/>
    </row>
    <row r="40" spans="1:17">
      <c r="A40" s="387"/>
      <c r="B40" s="387"/>
      <c r="C40" s="387"/>
      <c r="D40" s="387"/>
      <c r="E40" s="387"/>
      <c r="F40" s="387"/>
      <c r="G40" s="387"/>
      <c r="H40" s="387"/>
      <c r="I40" s="387"/>
      <c r="J40" s="387"/>
      <c r="K40" s="387"/>
      <c r="L40" s="387"/>
      <c r="M40" s="387"/>
      <c r="N40" s="388"/>
      <c r="O40" s="388"/>
      <c r="P40" s="388"/>
      <c r="Q40" s="237"/>
    </row>
    <row r="41" spans="1:17">
      <c r="A41" s="387"/>
      <c r="B41" s="387"/>
      <c r="C41" s="387"/>
      <c r="D41" s="387"/>
      <c r="E41" s="387"/>
      <c r="F41" s="387"/>
      <c r="G41" s="387"/>
      <c r="H41" s="387"/>
      <c r="I41" s="387"/>
      <c r="J41" s="387"/>
      <c r="K41" s="387"/>
      <c r="L41" s="387"/>
      <c r="M41" s="387"/>
      <c r="N41" s="388"/>
      <c r="O41" s="388"/>
      <c r="P41" s="388"/>
      <c r="Q41" s="237"/>
    </row>
    <row r="42" spans="1:17">
      <c r="A42" s="387"/>
      <c r="B42" s="387"/>
      <c r="C42" s="387"/>
      <c r="D42" s="387"/>
      <c r="E42" s="387"/>
      <c r="F42" s="387"/>
      <c r="G42" s="387"/>
      <c r="H42" s="387"/>
      <c r="I42" s="387"/>
      <c r="J42" s="387"/>
      <c r="K42" s="387"/>
      <c r="L42" s="387"/>
      <c r="M42" s="387"/>
      <c r="N42" s="388"/>
      <c r="O42" s="388"/>
      <c r="P42" s="388"/>
      <c r="Q42" s="237"/>
    </row>
    <row r="43" spans="1:17">
      <c r="A43" s="387"/>
      <c r="B43" s="387"/>
      <c r="C43" s="387"/>
      <c r="D43" s="387"/>
      <c r="E43" s="387"/>
      <c r="F43" s="387"/>
      <c r="G43" s="387"/>
      <c r="H43" s="387"/>
      <c r="I43" s="387"/>
      <c r="J43" s="387"/>
      <c r="K43" s="387"/>
      <c r="L43" s="387"/>
      <c r="M43" s="387"/>
      <c r="N43" s="388"/>
      <c r="O43" s="388"/>
      <c r="P43" s="388"/>
      <c r="Q43" s="237"/>
    </row>
    <row r="44" spans="1:17">
      <c r="A44" s="387"/>
      <c r="B44" s="387"/>
      <c r="C44" s="387"/>
      <c r="D44" s="387"/>
      <c r="E44" s="387"/>
      <c r="F44" s="387"/>
      <c r="G44" s="387"/>
      <c r="H44" s="387"/>
      <c r="I44" s="387"/>
      <c r="J44" s="387"/>
      <c r="K44" s="387"/>
      <c r="L44" s="387"/>
      <c r="M44" s="387"/>
      <c r="N44" s="388"/>
      <c r="O44" s="388"/>
      <c r="P44" s="388"/>
      <c r="Q44" s="237"/>
    </row>
    <row r="45" spans="1:17">
      <c r="A45" s="387"/>
      <c r="B45" s="387"/>
      <c r="C45" s="387"/>
      <c r="D45" s="387"/>
      <c r="E45" s="387"/>
      <c r="F45" s="387"/>
      <c r="G45" s="387"/>
      <c r="H45" s="387"/>
      <c r="I45" s="387"/>
      <c r="J45" s="387"/>
      <c r="K45" s="387"/>
      <c r="L45" s="387"/>
      <c r="M45" s="387"/>
      <c r="N45" s="388"/>
      <c r="O45" s="388"/>
      <c r="P45" s="388"/>
      <c r="Q45" s="237"/>
    </row>
    <row r="46" spans="1:17">
      <c r="A46" s="387"/>
      <c r="B46" s="387"/>
      <c r="C46" s="387"/>
      <c r="D46" s="387"/>
      <c r="E46" s="387"/>
      <c r="F46" s="387"/>
      <c r="G46" s="387"/>
      <c r="H46" s="387"/>
      <c r="I46" s="387"/>
      <c r="J46" s="387"/>
      <c r="K46" s="387"/>
      <c r="L46" s="387"/>
      <c r="M46" s="387"/>
      <c r="N46" s="388"/>
      <c r="O46" s="388"/>
      <c r="P46" s="388"/>
      <c r="Q46" s="237"/>
    </row>
    <row r="47" spans="1:17">
      <c r="A47" s="406"/>
      <c r="B47" s="406"/>
      <c r="C47" s="406"/>
      <c r="D47" s="406"/>
      <c r="E47" s="406"/>
      <c r="F47" s="406"/>
      <c r="G47" s="406"/>
      <c r="H47" s="406"/>
      <c r="I47" s="406"/>
      <c r="J47" s="406"/>
      <c r="K47" s="406"/>
      <c r="L47" s="406"/>
      <c r="M47" s="406"/>
      <c r="N47" s="379"/>
      <c r="O47" s="379"/>
      <c r="P47" s="379"/>
    </row>
    <row r="48" spans="1:17">
      <c r="A48" s="406"/>
      <c r="B48" s="406"/>
      <c r="C48" s="406"/>
      <c r="D48" s="406"/>
      <c r="E48" s="406"/>
      <c r="F48" s="406"/>
      <c r="G48" s="406"/>
      <c r="H48" s="406"/>
      <c r="I48" s="406"/>
      <c r="J48" s="406"/>
      <c r="K48" s="406"/>
      <c r="L48" s="406"/>
      <c r="M48" s="406"/>
      <c r="N48" s="379"/>
      <c r="O48" s="379"/>
      <c r="P48" s="379"/>
    </row>
    <row r="49" spans="1:16">
      <c r="A49" s="406"/>
      <c r="B49" s="406"/>
      <c r="C49" s="406"/>
      <c r="D49" s="406"/>
      <c r="E49" s="406"/>
      <c r="F49" s="406"/>
      <c r="G49" s="406"/>
      <c r="H49" s="406"/>
      <c r="I49" s="406"/>
      <c r="J49" s="406"/>
      <c r="K49" s="406"/>
      <c r="L49" s="406"/>
      <c r="M49" s="406"/>
      <c r="N49" s="379"/>
      <c r="O49" s="379"/>
      <c r="P49" s="379"/>
    </row>
    <row r="50" spans="1:16">
      <c r="A50" s="406"/>
      <c r="B50" s="406"/>
      <c r="C50" s="406"/>
      <c r="D50" s="406"/>
      <c r="E50" s="406"/>
      <c r="F50" s="406"/>
      <c r="G50" s="406"/>
      <c r="H50" s="406"/>
      <c r="I50" s="406"/>
      <c r="J50" s="406"/>
      <c r="K50" s="406"/>
      <c r="L50" s="406"/>
      <c r="M50" s="406"/>
      <c r="N50" s="379"/>
      <c r="O50" s="379"/>
      <c r="P50" s="379"/>
    </row>
    <row r="51" spans="1:16">
      <c r="A51" s="406"/>
      <c r="B51" s="406"/>
      <c r="C51" s="406"/>
      <c r="D51" s="406"/>
      <c r="E51" s="406"/>
      <c r="F51" s="406"/>
      <c r="G51" s="406"/>
      <c r="H51" s="406"/>
      <c r="I51" s="406"/>
      <c r="J51" s="406"/>
      <c r="K51" s="406"/>
      <c r="L51" s="406"/>
      <c r="M51" s="406"/>
      <c r="N51" s="379"/>
      <c r="O51" s="379"/>
      <c r="P51" s="379"/>
    </row>
    <row r="52" spans="1:16">
      <c r="A52" s="406"/>
      <c r="B52" s="406"/>
      <c r="C52" s="406"/>
      <c r="D52" s="406"/>
      <c r="E52" s="406"/>
      <c r="F52" s="406"/>
      <c r="G52" s="406"/>
      <c r="H52" s="406"/>
      <c r="I52" s="406"/>
      <c r="J52" s="406"/>
      <c r="K52" s="406"/>
      <c r="L52" s="406"/>
      <c r="M52" s="406"/>
      <c r="N52" s="379"/>
      <c r="O52" s="379"/>
      <c r="P52" s="379"/>
    </row>
    <row r="53" spans="1:16">
      <c r="A53" s="406"/>
      <c r="B53" s="406"/>
      <c r="C53" s="406"/>
      <c r="D53" s="406"/>
      <c r="E53" s="406"/>
      <c r="F53" s="406"/>
      <c r="G53" s="406"/>
      <c r="H53" s="406"/>
      <c r="I53" s="406"/>
      <c r="J53" s="406"/>
      <c r="K53" s="406"/>
      <c r="L53" s="406"/>
      <c r="M53" s="406"/>
      <c r="N53" s="379"/>
      <c r="O53" s="379"/>
      <c r="P53" s="379"/>
    </row>
    <row r="54" spans="1:16">
      <c r="A54" s="406"/>
      <c r="B54" s="406"/>
      <c r="C54" s="406"/>
      <c r="D54" s="406"/>
      <c r="E54" s="406"/>
      <c r="F54" s="406"/>
      <c r="G54" s="406"/>
      <c r="H54" s="406"/>
      <c r="I54" s="406"/>
      <c r="J54" s="406"/>
      <c r="K54" s="406"/>
      <c r="L54" s="406"/>
      <c r="M54" s="406"/>
      <c r="N54" s="379"/>
      <c r="O54" s="379"/>
      <c r="P54" s="379"/>
    </row>
    <row r="55" spans="1:16">
      <c r="A55" s="406"/>
      <c r="B55" s="406"/>
      <c r="C55" s="406"/>
      <c r="D55" s="406"/>
      <c r="E55" s="406"/>
      <c r="F55" s="406"/>
      <c r="G55" s="406"/>
      <c r="H55" s="406"/>
      <c r="I55" s="406"/>
      <c r="J55" s="406"/>
      <c r="K55" s="406"/>
      <c r="L55" s="406"/>
      <c r="M55" s="406"/>
      <c r="N55" s="379"/>
      <c r="O55" s="379"/>
      <c r="P55" s="379"/>
    </row>
    <row r="56" spans="1:16">
      <c r="A56" s="406"/>
      <c r="B56" s="406"/>
      <c r="C56" s="406"/>
      <c r="D56" s="406"/>
      <c r="E56" s="406"/>
      <c r="F56" s="406"/>
      <c r="G56" s="406"/>
      <c r="H56" s="406"/>
      <c r="I56" s="406"/>
      <c r="J56" s="406"/>
      <c r="K56" s="406"/>
      <c r="L56" s="406"/>
      <c r="M56" s="406"/>
      <c r="N56" s="379"/>
      <c r="O56" s="379"/>
      <c r="P56" s="379"/>
    </row>
    <row r="57" spans="1:16">
      <c r="A57" s="406"/>
      <c r="B57" s="406"/>
      <c r="C57" s="406"/>
      <c r="D57" s="406"/>
      <c r="E57" s="406"/>
      <c r="F57" s="406"/>
      <c r="G57" s="406"/>
      <c r="H57" s="406"/>
      <c r="I57" s="406"/>
      <c r="J57" s="406"/>
      <c r="K57" s="406"/>
      <c r="L57" s="406"/>
      <c r="M57" s="406"/>
      <c r="N57" s="379"/>
      <c r="O57" s="379"/>
      <c r="P57" s="379"/>
    </row>
    <row r="58" spans="1:16">
      <c r="A58" s="406"/>
      <c r="B58" s="406"/>
      <c r="C58" s="406"/>
      <c r="D58" s="406"/>
      <c r="E58" s="406"/>
      <c r="F58" s="406"/>
      <c r="G58" s="406"/>
      <c r="H58" s="406"/>
      <c r="I58" s="406"/>
      <c r="J58" s="406"/>
      <c r="K58" s="406"/>
      <c r="L58" s="406"/>
      <c r="M58" s="406"/>
      <c r="N58" s="379"/>
      <c r="O58" s="379"/>
      <c r="P58" s="379"/>
    </row>
    <row r="59" spans="1:16">
      <c r="A59" s="406"/>
      <c r="B59" s="406"/>
      <c r="C59" s="406"/>
      <c r="D59" s="406"/>
      <c r="E59" s="406"/>
      <c r="F59" s="406"/>
      <c r="G59" s="406"/>
      <c r="H59" s="406"/>
      <c r="I59" s="406"/>
      <c r="J59" s="406"/>
      <c r="K59" s="406"/>
      <c r="L59" s="406"/>
      <c r="M59" s="406"/>
      <c r="N59" s="379"/>
      <c r="O59" s="379"/>
      <c r="P59" s="379"/>
    </row>
    <row r="60" spans="1:16">
      <c r="A60" s="406"/>
      <c r="B60" s="406"/>
      <c r="C60" s="406"/>
      <c r="D60" s="406"/>
      <c r="E60" s="406"/>
      <c r="F60" s="406"/>
      <c r="G60" s="406"/>
      <c r="H60" s="406"/>
      <c r="I60" s="406"/>
      <c r="J60" s="406"/>
      <c r="K60" s="406"/>
      <c r="L60" s="406"/>
      <c r="M60" s="406"/>
      <c r="N60" s="379"/>
      <c r="O60" s="379"/>
      <c r="P60" s="379"/>
    </row>
    <row r="61" spans="1:16">
      <c r="A61" s="406"/>
      <c r="B61" s="406"/>
      <c r="C61" s="406"/>
      <c r="D61" s="406"/>
      <c r="E61" s="406"/>
      <c r="F61" s="406"/>
      <c r="G61" s="406"/>
      <c r="H61" s="406"/>
      <c r="I61" s="406"/>
      <c r="J61" s="406"/>
      <c r="K61" s="406"/>
      <c r="L61" s="406"/>
      <c r="M61" s="406"/>
      <c r="N61" s="379"/>
      <c r="O61" s="379"/>
      <c r="P61" s="379"/>
    </row>
    <row r="62" spans="1:16">
      <c r="A62" s="235"/>
      <c r="B62" s="235"/>
      <c r="C62" s="235"/>
      <c r="D62" s="235"/>
      <c r="E62" s="235"/>
      <c r="F62" s="235"/>
      <c r="G62" s="235"/>
      <c r="H62" s="235"/>
      <c r="I62" s="235"/>
      <c r="J62" s="235"/>
      <c r="K62" s="235"/>
      <c r="L62" s="235"/>
      <c r="M62" s="235"/>
    </row>
    <row r="63" spans="1:16">
      <c r="A63" s="235"/>
      <c r="B63" s="235"/>
      <c r="C63" s="235"/>
      <c r="D63" s="235"/>
      <c r="E63" s="235"/>
      <c r="F63" s="235"/>
      <c r="G63" s="235"/>
      <c r="H63" s="235"/>
      <c r="I63" s="235"/>
      <c r="J63" s="235"/>
      <c r="K63" s="235"/>
      <c r="L63" s="235"/>
      <c r="M63" s="235"/>
    </row>
    <row r="64" spans="1:16">
      <c r="A64" s="235"/>
      <c r="B64" s="235"/>
      <c r="C64" s="235"/>
      <c r="D64" s="235"/>
      <c r="E64" s="235"/>
      <c r="F64" s="235"/>
      <c r="G64" s="235"/>
      <c r="H64" s="235"/>
      <c r="I64" s="235"/>
      <c r="J64" s="235"/>
      <c r="K64" s="235"/>
      <c r="L64" s="235"/>
      <c r="M64" s="235"/>
    </row>
    <row r="65" spans="1:13">
      <c r="A65" s="235"/>
      <c r="B65" s="235"/>
      <c r="C65" s="235"/>
      <c r="D65" s="235"/>
      <c r="E65" s="235"/>
      <c r="F65" s="235"/>
      <c r="G65" s="235"/>
      <c r="H65" s="235"/>
      <c r="I65" s="235"/>
      <c r="J65" s="235"/>
      <c r="K65" s="235"/>
      <c r="L65" s="235"/>
      <c r="M65" s="235"/>
    </row>
  </sheetData>
  <mergeCells count="2">
    <mergeCell ref="A2:A4"/>
    <mergeCell ref="A6:A8"/>
  </mergeCells>
  <pageMargins left="0.511811024" right="0.511811024" top="4.1666666666666664E-2" bottom="0.125" header="0.31496062000000002" footer="0.31496062000000002"/>
  <pageSetup paperSize="9" scale="80" fitToHeight="0" orientation="landscape" horizontalDpi="360" verticalDpi="360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Planilha6">
    <tabColor theme="5" tint="-0.249977111117893"/>
  </sheetPr>
  <dimension ref="A1:M61"/>
  <sheetViews>
    <sheetView view="pageBreakPreview" topLeftCell="A25" zoomScale="70" zoomScaleNormal="90" zoomScaleSheetLayoutView="70" zoomScalePageLayoutView="55" workbookViewId="0">
      <selection activeCell="P40" sqref="P40"/>
    </sheetView>
  </sheetViews>
  <sheetFormatPr defaultRowHeight="14.25"/>
  <cols>
    <col min="1" max="1" width="40.625" style="4" bestFit="1" customWidth="1"/>
  </cols>
  <sheetData>
    <row r="1" spans="1:13" s="257" customFormat="1" ht="15">
      <c r="A1" s="257" t="s">
        <v>2</v>
      </c>
      <c r="B1" s="276" t="s">
        <v>3</v>
      </c>
      <c r="C1" s="276" t="s">
        <v>4</v>
      </c>
      <c r="D1" s="276" t="s">
        <v>5</v>
      </c>
      <c r="E1" s="276" t="s">
        <v>6</v>
      </c>
      <c r="F1" s="276" t="s">
        <v>7</v>
      </c>
      <c r="G1" s="276" t="s">
        <v>8</v>
      </c>
      <c r="H1" s="276" t="s">
        <v>9</v>
      </c>
      <c r="I1" s="276" t="s">
        <v>10</v>
      </c>
      <c r="J1" s="276" t="s">
        <v>11</v>
      </c>
      <c r="K1" s="276" t="s">
        <v>12</v>
      </c>
      <c r="L1" s="276" t="s">
        <v>13</v>
      </c>
      <c r="M1" s="276" t="s">
        <v>14</v>
      </c>
    </row>
    <row r="2" spans="1:13" ht="15.75">
      <c r="A2" s="14" t="s">
        <v>78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</row>
    <row r="3" spans="1:13" ht="15">
      <c r="A3" s="17" t="s">
        <v>18</v>
      </c>
      <c r="B3" s="129">
        <f>Plano_Estatístico_2021_HJB!B350</f>
        <v>4.0319148936170217</v>
      </c>
      <c r="C3" s="129">
        <f>Plano_Estatístico_2021_HJB!C350</f>
        <v>4.0418848167539263</v>
      </c>
      <c r="D3" s="129">
        <f>Plano_Estatístico_2021_HJB!D350</f>
        <v>3.5901639344262297</v>
      </c>
      <c r="E3" s="129">
        <f>Plano_Estatístico_2021_HJB!E350</f>
        <v>4.7142857142857144</v>
      </c>
      <c r="F3" s="129">
        <f>Plano_Estatístico_2021_HJB!F350</f>
        <v>4.1978609625668453</v>
      </c>
      <c r="G3" s="129">
        <f>Plano_Estatístico_2021_HJB!G350</f>
        <v>3.4162436548223352</v>
      </c>
      <c r="H3" s="129">
        <f>Plano_Estatístico_2021_HJB!H350</f>
        <v>3.3990384615384617</v>
      </c>
      <c r="I3" s="129">
        <f>Plano_Estatístico_2021_HJB!I350</f>
        <v>3.5694444444444446</v>
      </c>
      <c r="J3" s="129">
        <f>Plano_Estatístico_2021_HJB!J350</f>
        <v>3.3333333333333335</v>
      </c>
      <c r="K3" s="129">
        <f>Plano_Estatístico_2021_HJB!K350</f>
        <v>3.6323529411764706</v>
      </c>
      <c r="L3" s="129">
        <f>Plano_Estatístico_2021_HJB!L350</f>
        <v>4.2216494845360826</v>
      </c>
      <c r="M3" s="129"/>
    </row>
    <row r="4" spans="1:13" ht="15">
      <c r="A4" s="17" t="s">
        <v>19</v>
      </c>
      <c r="B4" s="129">
        <f>Plano_Estatístico_2021_HJB!B351</f>
        <v>30.6</v>
      </c>
      <c r="C4" s="129">
        <f>Plano_Estatístico_2021_HJB!C351</f>
        <v>17.884615384615383</v>
      </c>
      <c r="D4" s="129">
        <f>Plano_Estatístico_2021_HJB!D351</f>
        <v>16.428571428571427</v>
      </c>
      <c r="E4" s="129">
        <f>Plano_Estatístico_2021_HJB!E351</f>
        <v>6.2877697841726619</v>
      </c>
      <c r="F4" s="129">
        <f>Plano_Estatístico_2021_HJB!F351</f>
        <v>13.432432432432432</v>
      </c>
      <c r="G4" s="129">
        <f>Plano_Estatístico_2021_HJB!G351</f>
        <v>16.06451612903226</v>
      </c>
      <c r="H4" s="129">
        <f>Plano_Estatístico_2021_HJB!H351</f>
        <v>11.772727272727273</v>
      </c>
      <c r="I4" s="129">
        <f>Plano_Estatístico_2021_HJB!I351</f>
        <v>16.785714285714285</v>
      </c>
      <c r="J4" s="129">
        <f>Plano_Estatístico_2021_HJB!J351</f>
        <v>12.69047619047619</v>
      </c>
      <c r="K4" s="129">
        <f>Plano_Estatístico_2021_HJB!K351</f>
        <v>17.225806451612904</v>
      </c>
      <c r="L4" s="129">
        <f>Plano_Estatístico_2021_HJB!L351</f>
        <v>13.102564102564102</v>
      </c>
      <c r="M4" s="129"/>
    </row>
    <row r="5" spans="1:13" ht="15">
      <c r="A5" s="17" t="s">
        <v>20</v>
      </c>
      <c r="B5" s="129">
        <f>Plano_Estatístico_2021_HJB!B352</f>
        <v>8.7222222222222214</v>
      </c>
      <c r="C5" s="129">
        <f>Plano_Estatístico_2021_HJB!C352</f>
        <v>6.583333333333333</v>
      </c>
      <c r="D5" s="129">
        <f>Plano_Estatístico_2021_HJB!D352</f>
        <v>19.583333333333332</v>
      </c>
      <c r="E5" s="129">
        <f>Plano_Estatístico_2021_HJB!E352</f>
        <v>9.4347826086956523</v>
      </c>
      <c r="F5" s="129">
        <f>Plano_Estatístico_2021_HJB!F352</f>
        <v>9</v>
      </c>
      <c r="G5" s="129">
        <f>Plano_Estatístico_2021_HJB!G352</f>
        <v>8.65</v>
      </c>
      <c r="H5" s="129">
        <f>Plano_Estatístico_2021_HJB!H352</f>
        <v>5.875</v>
      </c>
      <c r="I5" s="129">
        <f>Plano_Estatístico_2021_HJB!I352</f>
        <v>5.78125</v>
      </c>
      <c r="J5" s="129">
        <f>Plano_Estatístico_2021_HJB!J352</f>
        <v>5.7931034482758621</v>
      </c>
      <c r="K5" s="129">
        <f>Plano_Estatístico_2021_HJB!K352</f>
        <v>11.833333333333334</v>
      </c>
      <c r="L5" s="129">
        <f>Plano_Estatístico_2021_HJB!L352</f>
        <v>7</v>
      </c>
      <c r="M5" s="129"/>
    </row>
    <row r="6" spans="1:13" ht="15.75">
      <c r="A6" s="20" t="s">
        <v>0</v>
      </c>
      <c r="B6" s="22">
        <f>Plano_Estatístico_2021_HJB!B353</f>
        <v>6.2171945701357467</v>
      </c>
      <c r="C6" s="22">
        <f>Plano_Estatístico_2021_HJB!C353</f>
        <v>5.7883817427385891</v>
      </c>
      <c r="D6" s="22">
        <f>Plano_Estatístico_2021_HJB!D353</f>
        <v>6.0627802690582957</v>
      </c>
      <c r="E6" s="22">
        <f>Plano_Estatístico_2021_HJB!E353</f>
        <v>6.6508875739644973</v>
      </c>
      <c r="F6" s="22">
        <f>Plano_Estatístico_2021_HJB!F353</f>
        <v>6.0040816326530608</v>
      </c>
      <c r="G6" s="22">
        <f>Plano_Estatístico_2021_HJB!G353</f>
        <v>5.419354838709677</v>
      </c>
      <c r="H6" s="22">
        <f>Plano_Estatístico_2021_HJB!H353</f>
        <v>4.975352112676056</v>
      </c>
      <c r="I6" s="22">
        <f>Plano_Estatístico_2021_HJB!I353</f>
        <v>5.166666666666667</v>
      </c>
      <c r="J6" s="22">
        <f>Plano_Estatístico_2021_HJB!J353</f>
        <v>5.0404411764705879</v>
      </c>
      <c r="K6" s="22">
        <f>Plano_Estatístico_2021_HJB!K353</f>
        <v>5.8814229249011856</v>
      </c>
      <c r="L6" s="22">
        <f>Plano_Estatístico_2021_HJB!L353</f>
        <v>5.8555133079847907</v>
      </c>
      <c r="M6" s="22"/>
    </row>
    <row r="7" spans="1:13">
      <c r="A7" s="379"/>
      <c r="B7" s="379"/>
      <c r="C7" s="379"/>
      <c r="D7" s="379"/>
      <c r="E7" s="379"/>
      <c r="F7" s="379"/>
      <c r="G7" s="379"/>
      <c r="H7" s="379"/>
      <c r="I7" s="379"/>
      <c r="J7" s="379"/>
      <c r="K7" s="379"/>
      <c r="L7" s="379"/>
      <c r="M7" s="379"/>
    </row>
    <row r="8" spans="1:13">
      <c r="A8" s="379"/>
      <c r="B8" s="379"/>
      <c r="C8" s="379"/>
      <c r="D8" s="379"/>
      <c r="E8" s="379"/>
      <c r="F8" s="379"/>
      <c r="G8" s="379"/>
      <c r="H8" s="379"/>
      <c r="I8" s="379"/>
      <c r="J8" s="379"/>
      <c r="K8" s="379"/>
      <c r="L8" s="379"/>
      <c r="M8" s="379"/>
    </row>
    <row r="9" spans="1:13">
      <c r="A9" s="379"/>
      <c r="B9" s="379"/>
      <c r="C9" s="379"/>
      <c r="D9" s="379"/>
      <c r="E9" s="379"/>
      <c r="F9" s="379"/>
      <c r="G9" s="379"/>
      <c r="H9" s="379"/>
      <c r="I9" s="379"/>
      <c r="J9" s="379"/>
      <c r="K9" s="379"/>
      <c r="L9" s="379"/>
      <c r="M9" s="379"/>
    </row>
    <row r="10" spans="1:13">
      <c r="A10" s="379"/>
      <c r="B10" s="379"/>
      <c r="C10" s="379"/>
      <c r="D10" s="379"/>
      <c r="E10" s="379"/>
      <c r="F10" s="379"/>
      <c r="G10" s="379"/>
      <c r="H10" s="379"/>
      <c r="I10" s="379"/>
      <c r="J10" s="379"/>
      <c r="K10" s="379"/>
      <c r="L10" s="379"/>
      <c r="M10" s="379"/>
    </row>
    <row r="11" spans="1:13">
      <c r="A11" s="379"/>
      <c r="B11" s="379"/>
      <c r="C11" s="379"/>
      <c r="D11" s="379"/>
      <c r="E11" s="379"/>
      <c r="F11" s="379"/>
      <c r="G11" s="379"/>
      <c r="H11" s="379"/>
      <c r="I11" s="379"/>
      <c r="J11" s="379"/>
      <c r="K11" s="379"/>
      <c r="L11" s="379"/>
      <c r="M11" s="379"/>
    </row>
    <row r="12" spans="1:13">
      <c r="A12" s="379"/>
      <c r="B12" s="379"/>
      <c r="C12" s="379"/>
      <c r="D12" s="379"/>
      <c r="E12" s="379"/>
      <c r="F12" s="379"/>
      <c r="G12" s="379"/>
      <c r="H12" s="379"/>
      <c r="I12" s="379"/>
      <c r="J12" s="379"/>
      <c r="K12" s="379"/>
      <c r="L12" s="379"/>
      <c r="M12" s="379"/>
    </row>
    <row r="13" spans="1:13">
      <c r="A13" s="379"/>
      <c r="B13" s="379"/>
      <c r="C13" s="379"/>
      <c r="D13" s="379"/>
      <c r="E13" s="379"/>
      <c r="F13" s="379"/>
      <c r="G13" s="379"/>
      <c r="H13" s="379"/>
      <c r="I13" s="379"/>
      <c r="J13" s="379"/>
      <c r="K13" s="379"/>
      <c r="L13" s="379"/>
      <c r="M13" s="379"/>
    </row>
    <row r="14" spans="1:13">
      <c r="A14" s="379"/>
      <c r="B14" s="379"/>
      <c r="C14" s="379"/>
      <c r="D14" s="379"/>
      <c r="E14" s="379"/>
      <c r="F14" s="379"/>
      <c r="G14" s="379"/>
      <c r="H14" s="379"/>
      <c r="I14" s="379"/>
      <c r="J14" s="379"/>
      <c r="K14" s="379"/>
      <c r="L14" s="379"/>
      <c r="M14" s="379"/>
    </row>
    <row r="15" spans="1:13">
      <c r="A15" s="379"/>
      <c r="B15" s="379"/>
      <c r="C15" s="379"/>
      <c r="D15" s="379"/>
      <c r="E15" s="379"/>
      <c r="F15" s="379"/>
      <c r="G15" s="379"/>
      <c r="H15" s="379"/>
      <c r="I15" s="379"/>
      <c r="J15" s="379"/>
      <c r="K15" s="379"/>
      <c r="L15" s="379"/>
      <c r="M15" s="379"/>
    </row>
    <row r="16" spans="1:13">
      <c r="A16" s="379"/>
      <c r="B16" s="379"/>
      <c r="C16" s="379"/>
      <c r="D16" s="379"/>
      <c r="E16" s="379"/>
      <c r="F16" s="379"/>
      <c r="G16" s="379"/>
      <c r="H16" s="379"/>
      <c r="I16" s="379"/>
      <c r="J16" s="379"/>
      <c r="K16" s="379"/>
      <c r="L16" s="379"/>
      <c r="M16" s="379"/>
    </row>
    <row r="17" spans="1:13">
      <c r="A17" s="379"/>
      <c r="B17" s="379"/>
      <c r="C17" s="379"/>
      <c r="D17" s="379"/>
      <c r="E17" s="379"/>
      <c r="F17" s="379"/>
      <c r="G17" s="379"/>
      <c r="H17" s="379"/>
      <c r="I17" s="379"/>
      <c r="J17" s="379"/>
      <c r="K17" s="379"/>
      <c r="L17" s="379"/>
      <c r="M17" s="379"/>
    </row>
    <row r="18" spans="1:13">
      <c r="A18" s="379"/>
      <c r="B18" s="379"/>
      <c r="C18" s="379"/>
      <c r="D18" s="379"/>
      <c r="E18" s="379"/>
      <c r="F18" s="379"/>
      <c r="G18" s="379"/>
      <c r="H18" s="379"/>
      <c r="I18" s="379"/>
      <c r="J18" s="379"/>
      <c r="K18" s="379"/>
      <c r="L18" s="379"/>
      <c r="M18" s="379"/>
    </row>
    <row r="19" spans="1:13">
      <c r="A19" s="379"/>
      <c r="B19" s="379"/>
      <c r="C19" s="379"/>
      <c r="D19" s="379"/>
      <c r="E19" s="379"/>
      <c r="F19" s="379"/>
      <c r="G19" s="379"/>
      <c r="H19" s="379"/>
      <c r="I19" s="379"/>
      <c r="J19" s="379"/>
      <c r="K19" s="379"/>
      <c r="L19" s="379"/>
      <c r="M19" s="379"/>
    </row>
    <row r="20" spans="1:13">
      <c r="A20" s="379"/>
      <c r="B20" s="379"/>
      <c r="C20" s="379"/>
      <c r="D20" s="379"/>
      <c r="E20" s="379"/>
      <c r="F20" s="379"/>
      <c r="G20" s="379"/>
      <c r="H20" s="379"/>
      <c r="I20" s="379"/>
      <c r="J20" s="379"/>
      <c r="K20" s="379"/>
      <c r="L20" s="379"/>
      <c r="M20" s="379"/>
    </row>
    <row r="21" spans="1:13">
      <c r="A21" s="379"/>
      <c r="B21" s="379"/>
      <c r="C21" s="379"/>
      <c r="D21" s="379"/>
      <c r="E21" s="379"/>
      <c r="F21" s="379"/>
      <c r="G21" s="379"/>
      <c r="H21" s="379"/>
      <c r="I21" s="379"/>
      <c r="J21" s="379"/>
      <c r="K21" s="379"/>
      <c r="L21" s="379"/>
      <c r="M21" s="379"/>
    </row>
    <row r="22" spans="1:13">
      <c r="A22" s="379"/>
      <c r="B22" s="379"/>
      <c r="C22" s="379"/>
      <c r="D22" s="379"/>
      <c r="E22" s="379"/>
      <c r="F22" s="379"/>
      <c r="G22" s="379"/>
      <c r="H22" s="379"/>
      <c r="I22" s="379"/>
      <c r="J22" s="379"/>
      <c r="K22" s="379"/>
      <c r="L22" s="379"/>
      <c r="M22" s="379"/>
    </row>
    <row r="23" spans="1:13">
      <c r="A23" s="379"/>
      <c r="B23" s="379"/>
      <c r="C23" s="379"/>
      <c r="D23" s="379"/>
      <c r="E23" s="379"/>
      <c r="F23" s="379"/>
      <c r="G23" s="379"/>
      <c r="H23" s="379"/>
      <c r="I23" s="379"/>
      <c r="J23" s="379"/>
      <c r="K23" s="379"/>
      <c r="L23" s="379"/>
      <c r="M23" s="379"/>
    </row>
    <row r="24" spans="1:13">
      <c r="A24" s="379"/>
      <c r="B24" s="379"/>
      <c r="C24" s="379"/>
      <c r="D24" s="379"/>
      <c r="E24" s="379"/>
      <c r="F24" s="379"/>
      <c r="G24" s="379"/>
      <c r="H24" s="379"/>
      <c r="I24" s="379"/>
      <c r="J24" s="379"/>
      <c r="K24" s="379"/>
      <c r="L24" s="379"/>
      <c r="M24" s="379"/>
    </row>
    <row r="25" spans="1:13">
      <c r="A25" s="379"/>
      <c r="B25" s="379"/>
      <c r="C25" s="379"/>
      <c r="D25" s="379"/>
      <c r="E25" s="379"/>
      <c r="F25" s="379"/>
      <c r="G25" s="379"/>
      <c r="H25" s="379"/>
      <c r="I25" s="379"/>
      <c r="J25" s="379"/>
      <c r="K25" s="379"/>
      <c r="L25" s="379"/>
      <c r="M25" s="379"/>
    </row>
    <row r="26" spans="1:13">
      <c r="A26" s="379"/>
      <c r="B26" s="379"/>
      <c r="C26" s="379"/>
      <c r="D26" s="379"/>
      <c r="E26" s="379"/>
      <c r="F26" s="379"/>
      <c r="G26" s="379"/>
      <c r="H26" s="379"/>
      <c r="I26" s="379"/>
      <c r="J26" s="379"/>
      <c r="K26" s="379"/>
      <c r="L26" s="379"/>
      <c r="M26" s="379"/>
    </row>
    <row r="27" spans="1:13">
      <c r="A27" s="379"/>
      <c r="B27" s="379"/>
      <c r="C27" s="379"/>
      <c r="D27" s="379"/>
      <c r="E27" s="379"/>
      <c r="F27" s="379"/>
      <c r="G27" s="379"/>
      <c r="H27" s="379"/>
      <c r="I27" s="379"/>
      <c r="J27" s="379"/>
      <c r="K27" s="379"/>
      <c r="L27" s="379"/>
      <c r="M27" s="379"/>
    </row>
    <row r="28" spans="1:13">
      <c r="A28" s="379"/>
      <c r="B28" s="379"/>
      <c r="C28" s="379"/>
      <c r="D28" s="379"/>
      <c r="E28" s="379"/>
      <c r="F28" s="379"/>
      <c r="G28" s="379"/>
      <c r="H28" s="379"/>
      <c r="I28" s="379"/>
      <c r="J28" s="379"/>
      <c r="K28" s="379"/>
      <c r="L28" s="379"/>
      <c r="M28" s="379"/>
    </row>
    <row r="29" spans="1:13">
      <c r="A29" s="379"/>
      <c r="B29" s="379"/>
      <c r="C29" s="379"/>
      <c r="D29" s="379"/>
      <c r="E29" s="379"/>
      <c r="F29" s="379"/>
      <c r="G29" s="379"/>
      <c r="H29" s="379"/>
      <c r="I29" s="379"/>
      <c r="J29" s="379"/>
      <c r="K29" s="379"/>
      <c r="L29" s="379"/>
      <c r="M29" s="379"/>
    </row>
    <row r="30" spans="1:13">
      <c r="A30" s="379"/>
      <c r="B30" s="379"/>
      <c r="C30" s="379"/>
      <c r="D30" s="379"/>
      <c r="E30" s="379"/>
      <c r="F30" s="379"/>
      <c r="G30" s="379"/>
      <c r="H30" s="379"/>
      <c r="I30" s="379"/>
      <c r="J30" s="379"/>
      <c r="K30" s="379"/>
      <c r="L30" s="379"/>
      <c r="M30" s="379"/>
    </row>
    <row r="31" spans="1:13">
      <c r="A31" s="379"/>
      <c r="B31" s="379"/>
      <c r="C31" s="379"/>
      <c r="D31" s="379"/>
      <c r="E31" s="379"/>
      <c r="F31" s="379"/>
      <c r="G31" s="379"/>
      <c r="H31" s="379"/>
      <c r="I31" s="379"/>
      <c r="J31" s="379"/>
      <c r="K31" s="379"/>
      <c r="L31" s="379"/>
      <c r="M31" s="379"/>
    </row>
    <row r="32" spans="1:13">
      <c r="A32" s="379"/>
      <c r="B32" s="379"/>
      <c r="C32" s="379"/>
      <c r="D32" s="379"/>
      <c r="E32" s="379"/>
      <c r="F32" s="379"/>
      <c r="G32" s="379"/>
      <c r="H32" s="379"/>
      <c r="I32" s="379"/>
      <c r="J32" s="379"/>
      <c r="K32" s="379"/>
      <c r="L32" s="379"/>
      <c r="M32" s="379"/>
    </row>
    <row r="33" spans="1:13">
      <c r="A33" s="379"/>
      <c r="B33" s="379"/>
      <c r="C33" s="379"/>
      <c r="D33" s="379"/>
      <c r="E33" s="379"/>
      <c r="F33" s="379"/>
      <c r="G33" s="379"/>
      <c r="H33" s="379"/>
      <c r="I33" s="379"/>
      <c r="J33" s="379"/>
      <c r="K33" s="379"/>
      <c r="L33" s="379"/>
      <c r="M33" s="379"/>
    </row>
    <row r="34" spans="1:13">
      <c r="A34" s="379"/>
      <c r="B34" s="379"/>
      <c r="C34" s="379"/>
      <c r="D34" s="379"/>
      <c r="E34" s="379"/>
      <c r="F34" s="379"/>
      <c r="G34" s="379"/>
      <c r="H34" s="379"/>
      <c r="I34" s="379"/>
      <c r="J34" s="379"/>
      <c r="K34" s="379"/>
      <c r="L34" s="379"/>
      <c r="M34" s="379"/>
    </row>
    <row r="35" spans="1:13">
      <c r="A35" s="379"/>
      <c r="B35" s="379"/>
      <c r="C35" s="379"/>
      <c r="D35" s="379"/>
      <c r="E35" s="379"/>
      <c r="F35" s="379"/>
      <c r="G35" s="379"/>
      <c r="H35" s="379"/>
      <c r="I35" s="379"/>
      <c r="J35" s="379"/>
      <c r="K35" s="379"/>
      <c r="L35" s="379"/>
      <c r="M35" s="379"/>
    </row>
    <row r="36" spans="1:13">
      <c r="A36" s="379"/>
      <c r="B36" s="379"/>
      <c r="C36" s="379"/>
      <c r="D36" s="379"/>
      <c r="E36" s="379"/>
      <c r="F36" s="379"/>
      <c r="G36" s="379"/>
      <c r="H36" s="379"/>
      <c r="I36" s="379"/>
      <c r="J36" s="379"/>
      <c r="K36" s="379"/>
      <c r="L36" s="379"/>
      <c r="M36" s="379"/>
    </row>
    <row r="37" spans="1:13">
      <c r="A37" s="379"/>
      <c r="B37" s="379"/>
      <c r="C37" s="379"/>
      <c r="D37" s="379"/>
      <c r="E37" s="379"/>
      <c r="F37" s="379"/>
      <c r="G37" s="379"/>
      <c r="H37" s="379"/>
      <c r="I37" s="379"/>
      <c r="J37" s="379"/>
      <c r="K37" s="379"/>
      <c r="L37" s="379"/>
      <c r="M37" s="379"/>
    </row>
    <row r="38" spans="1:13">
      <c r="A38" s="379"/>
      <c r="B38" s="379"/>
      <c r="C38" s="379"/>
      <c r="D38" s="379"/>
      <c r="E38" s="379"/>
      <c r="F38" s="379"/>
      <c r="G38" s="379"/>
      <c r="H38" s="379"/>
      <c r="I38" s="379"/>
      <c r="J38" s="379"/>
      <c r="K38" s="379"/>
      <c r="L38" s="379"/>
      <c r="M38" s="379"/>
    </row>
    <row r="39" spans="1:13">
      <c r="A39" s="379"/>
      <c r="B39" s="379"/>
      <c r="C39" s="379"/>
      <c r="D39" s="379"/>
      <c r="E39" s="379"/>
      <c r="F39" s="379"/>
      <c r="G39" s="379"/>
      <c r="H39" s="379"/>
      <c r="I39" s="379"/>
      <c r="J39" s="379"/>
      <c r="K39" s="379"/>
      <c r="L39" s="379"/>
      <c r="M39" s="379"/>
    </row>
    <row r="40" spans="1:13">
      <c r="A40" s="379"/>
      <c r="B40" s="379"/>
      <c r="C40" s="379"/>
      <c r="D40" s="379"/>
      <c r="E40" s="379"/>
      <c r="F40" s="379"/>
      <c r="G40" s="379"/>
      <c r="H40" s="379"/>
      <c r="I40" s="379"/>
      <c r="J40" s="379"/>
      <c r="K40" s="379"/>
      <c r="L40" s="379"/>
      <c r="M40" s="379"/>
    </row>
    <row r="41" spans="1:13">
      <c r="A41" s="379"/>
      <c r="B41" s="379"/>
      <c r="C41" s="379"/>
      <c r="D41" s="379"/>
      <c r="E41" s="379"/>
      <c r="F41" s="379"/>
      <c r="G41" s="379"/>
      <c r="H41" s="379"/>
      <c r="I41" s="379"/>
      <c r="J41" s="379"/>
      <c r="K41" s="379"/>
      <c r="L41" s="379"/>
      <c r="M41" s="379"/>
    </row>
    <row r="42" spans="1:13">
      <c r="A42" s="379"/>
      <c r="B42" s="379"/>
      <c r="C42" s="379"/>
      <c r="D42" s="379"/>
      <c r="E42" s="379"/>
      <c r="F42" s="379"/>
      <c r="G42" s="379"/>
      <c r="H42" s="379"/>
      <c r="I42" s="379"/>
      <c r="J42" s="379"/>
      <c r="K42" s="379"/>
      <c r="L42" s="379"/>
      <c r="M42" s="379"/>
    </row>
    <row r="43" spans="1:13">
      <c r="A43" s="379"/>
      <c r="B43" s="379"/>
      <c r="C43" s="379"/>
      <c r="D43" s="379"/>
      <c r="E43" s="379"/>
      <c r="F43" s="379"/>
      <c r="G43" s="379"/>
      <c r="H43" s="379"/>
      <c r="I43" s="379"/>
      <c r="J43" s="380" t="s">
        <v>563</v>
      </c>
      <c r="K43" s="379"/>
      <c r="L43" s="379"/>
      <c r="M43" s="379"/>
    </row>
    <row r="44" spans="1:13">
      <c r="A44" s="379"/>
      <c r="B44" s="379"/>
      <c r="C44" s="379"/>
      <c r="D44" s="379"/>
      <c r="E44" s="379"/>
      <c r="F44" s="379"/>
      <c r="G44" s="379"/>
      <c r="H44" s="379"/>
      <c r="I44" s="379"/>
      <c r="J44" s="379"/>
      <c r="K44" s="379"/>
      <c r="L44" s="379"/>
      <c r="M44" s="379"/>
    </row>
    <row r="45" spans="1:13">
      <c r="A45" s="379"/>
      <c r="B45" s="379"/>
      <c r="C45" s="379"/>
      <c r="D45" s="379"/>
      <c r="E45" s="379"/>
      <c r="F45" s="379"/>
      <c r="G45" s="379"/>
      <c r="H45" s="379"/>
      <c r="I45" s="379"/>
      <c r="J45" s="379"/>
      <c r="K45" s="379"/>
      <c r="L45" s="379"/>
      <c r="M45" s="379"/>
    </row>
    <row r="46" spans="1:13">
      <c r="A46" s="379"/>
      <c r="B46" s="379"/>
      <c r="C46" s="379"/>
      <c r="D46" s="379"/>
      <c r="E46" s="379"/>
      <c r="F46" s="379"/>
      <c r="G46" s="379"/>
      <c r="H46" s="379"/>
      <c r="I46" s="379"/>
      <c r="J46" s="379"/>
      <c r="K46" s="379"/>
      <c r="L46" s="379"/>
      <c r="M46" s="379"/>
    </row>
    <row r="47" spans="1:13">
      <c r="A47" s="379"/>
      <c r="B47" s="379"/>
      <c r="C47" s="379"/>
      <c r="D47" s="379"/>
      <c r="E47" s="379"/>
      <c r="F47" s="379"/>
      <c r="G47" s="379"/>
      <c r="H47" s="379"/>
      <c r="I47" s="379"/>
      <c r="J47" s="379"/>
      <c r="K47" s="379"/>
      <c r="L47" s="379"/>
      <c r="M47" s="379"/>
    </row>
    <row r="48" spans="1:13">
      <c r="A48" s="379"/>
      <c r="B48" s="379"/>
      <c r="C48" s="379"/>
      <c r="D48" s="379"/>
      <c r="E48" s="379"/>
      <c r="F48" s="379"/>
      <c r="G48" s="379"/>
      <c r="H48" s="379"/>
      <c r="I48" s="379"/>
      <c r="J48" s="379"/>
      <c r="K48" s="379"/>
      <c r="L48" s="379"/>
      <c r="M48" s="379"/>
    </row>
    <row r="49" spans="1:13">
      <c r="A49" s="379"/>
      <c r="B49" s="379"/>
      <c r="C49" s="379"/>
      <c r="D49" s="379"/>
      <c r="E49" s="379"/>
      <c r="F49" s="379"/>
      <c r="G49" s="379"/>
      <c r="H49" s="379"/>
      <c r="I49" s="379"/>
      <c r="J49" s="379"/>
      <c r="K49" s="379"/>
      <c r="L49" s="379"/>
      <c r="M49" s="379"/>
    </row>
    <row r="50" spans="1:13">
      <c r="A50" s="379"/>
      <c r="B50" s="379"/>
      <c r="C50" s="379"/>
      <c r="D50" s="379"/>
      <c r="E50" s="379"/>
      <c r="F50" s="379"/>
      <c r="G50" s="379"/>
      <c r="H50" s="379"/>
      <c r="I50" s="379"/>
      <c r="J50" s="379"/>
      <c r="K50" s="379"/>
      <c r="L50" s="379"/>
      <c r="M50" s="379"/>
    </row>
    <row r="51" spans="1:13">
      <c r="A51" s="379"/>
      <c r="B51" s="379"/>
      <c r="C51" s="379"/>
      <c r="D51" s="379"/>
      <c r="E51" s="379"/>
      <c r="F51" s="379"/>
      <c r="G51" s="379"/>
      <c r="H51" s="379"/>
      <c r="I51" s="379"/>
      <c r="J51" s="379"/>
      <c r="K51" s="379"/>
      <c r="L51" s="379"/>
      <c r="M51" s="379"/>
    </row>
    <row r="52" spans="1:13">
      <c r="A52" s="379"/>
      <c r="B52" s="379"/>
      <c r="C52" s="379"/>
      <c r="D52" s="379"/>
      <c r="E52" s="379"/>
      <c r="F52" s="379"/>
      <c r="G52" s="379"/>
      <c r="H52" s="379"/>
      <c r="I52" s="379"/>
      <c r="J52" s="379"/>
      <c r="K52" s="379"/>
      <c r="L52" s="379"/>
      <c r="M52" s="379"/>
    </row>
    <row r="53" spans="1:13">
      <c r="A53" s="379"/>
      <c r="B53" s="379"/>
      <c r="C53" s="379"/>
      <c r="D53" s="379"/>
      <c r="E53" s="379"/>
      <c r="F53" s="379"/>
      <c r="G53" s="379"/>
      <c r="H53" s="379"/>
      <c r="I53" s="379"/>
      <c r="J53" s="379"/>
      <c r="K53" s="379"/>
      <c r="L53" s="379"/>
      <c r="M53" s="379"/>
    </row>
    <row r="54" spans="1:13">
      <c r="A54" s="379"/>
      <c r="B54" s="379"/>
      <c r="C54" s="379"/>
      <c r="D54" s="379"/>
      <c r="E54" s="379"/>
      <c r="F54" s="379"/>
      <c r="G54" s="379"/>
      <c r="H54" s="379"/>
      <c r="I54" s="379"/>
      <c r="J54" s="379"/>
      <c r="K54" s="379"/>
      <c r="L54" s="379"/>
      <c r="M54" s="379"/>
    </row>
    <row r="55" spans="1:13">
      <c r="A55" s="379"/>
      <c r="B55" s="379"/>
      <c r="C55" s="379"/>
      <c r="D55" s="379"/>
      <c r="E55" s="379"/>
      <c r="F55" s="379"/>
      <c r="G55" s="379"/>
      <c r="H55" s="379"/>
      <c r="I55" s="379"/>
      <c r="J55" s="379"/>
      <c r="K55" s="379"/>
      <c r="L55" s="379"/>
      <c r="M55" s="379"/>
    </row>
    <row r="56" spans="1:13">
      <c r="A56" s="379"/>
      <c r="B56" s="379"/>
      <c r="C56" s="379"/>
      <c r="D56" s="379"/>
      <c r="E56" s="379"/>
      <c r="F56" s="379"/>
      <c r="G56" s="379"/>
      <c r="H56" s="379"/>
      <c r="I56" s="379"/>
      <c r="J56" s="379"/>
      <c r="K56" s="379"/>
      <c r="L56" s="379"/>
      <c r="M56" s="379"/>
    </row>
    <row r="57" spans="1:13">
      <c r="A57" s="379"/>
      <c r="B57" s="379"/>
      <c r="C57" s="379"/>
      <c r="D57" s="379"/>
      <c r="E57" s="379"/>
      <c r="F57" s="379"/>
      <c r="G57" s="379"/>
      <c r="H57" s="379"/>
      <c r="I57" s="379"/>
      <c r="J57" s="379"/>
      <c r="K57" s="379"/>
      <c r="L57" s="379"/>
      <c r="M57" s="379"/>
    </row>
    <row r="58" spans="1:13">
      <c r="A58" s="379"/>
      <c r="B58" s="379"/>
      <c r="C58" s="379"/>
      <c r="D58" s="379"/>
      <c r="E58" s="379"/>
      <c r="F58" s="379"/>
      <c r="G58" s="379"/>
      <c r="H58" s="379"/>
      <c r="I58" s="379"/>
      <c r="J58" s="379"/>
      <c r="K58" s="379"/>
      <c r="L58" s="379"/>
      <c r="M58" s="379"/>
    </row>
    <row r="59" spans="1:13">
      <c r="A59" s="379"/>
      <c r="B59" s="379"/>
      <c r="C59" s="379"/>
      <c r="D59" s="379"/>
      <c r="E59" s="379"/>
      <c r="F59" s="379"/>
      <c r="G59" s="379"/>
      <c r="H59" s="379"/>
      <c r="I59" s="379"/>
      <c r="J59" s="379"/>
      <c r="K59" s="379"/>
      <c r="L59" s="379"/>
      <c r="M59" s="379"/>
    </row>
    <row r="60" spans="1:13">
      <c r="A60" s="379"/>
      <c r="B60" s="379"/>
      <c r="C60" s="379"/>
      <c r="D60" s="379"/>
      <c r="E60" s="379"/>
      <c r="F60" s="379"/>
      <c r="G60" s="379"/>
      <c r="H60" s="379"/>
      <c r="I60" s="379"/>
      <c r="J60" s="379"/>
      <c r="K60" s="379"/>
      <c r="L60" s="379"/>
      <c r="M60" s="379"/>
    </row>
    <row r="61" spans="1:13">
      <c r="A61" s="379"/>
      <c r="B61" s="379"/>
      <c r="C61" s="379"/>
      <c r="D61" s="379"/>
      <c r="E61" s="379"/>
      <c r="F61" s="379"/>
      <c r="G61" s="379"/>
      <c r="H61" s="379"/>
      <c r="I61" s="379"/>
      <c r="J61" s="379"/>
      <c r="K61" s="379"/>
      <c r="L61" s="379"/>
      <c r="M61" s="379"/>
    </row>
  </sheetData>
  <pageMargins left="0.511811024" right="0.511811024" top="0.16041666666666668" bottom="0.17499999999999999" header="0.31496062000000002" footer="0.31496062000000002"/>
  <pageSetup scale="77" orientation="landscape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theme="1"/>
  </sheetPr>
  <dimension ref="A1:N16"/>
  <sheetViews>
    <sheetView workbookViewId="0">
      <selection activeCell="K24" sqref="K24"/>
    </sheetView>
  </sheetViews>
  <sheetFormatPr defaultRowHeight="14.25"/>
  <cols>
    <col min="1" max="1" width="31.875" bestFit="1" customWidth="1"/>
    <col min="2" max="12" width="5.75" bestFit="1" customWidth="1"/>
    <col min="13" max="13" width="6.625" style="293" bestFit="1" customWidth="1"/>
    <col min="14" max="14" width="6.25" style="293" bestFit="1" customWidth="1"/>
  </cols>
  <sheetData>
    <row r="1" spans="1:14" s="4" customFormat="1">
      <c r="A1" s="297" t="s">
        <v>591</v>
      </c>
      <c r="B1" s="298" t="s">
        <v>3</v>
      </c>
      <c r="C1" s="298" t="s">
        <v>4</v>
      </c>
      <c r="D1" s="298" t="s">
        <v>5</v>
      </c>
      <c r="E1" s="298" t="s">
        <v>6</v>
      </c>
      <c r="F1" s="298" t="s">
        <v>7</v>
      </c>
      <c r="G1" s="298" t="s">
        <v>8</v>
      </c>
      <c r="H1" s="298" t="s">
        <v>9</v>
      </c>
      <c r="I1" s="298" t="s">
        <v>10</v>
      </c>
      <c r="J1" s="298" t="s">
        <v>11</v>
      </c>
      <c r="K1" s="298" t="s">
        <v>12</v>
      </c>
      <c r="L1" s="298" t="s">
        <v>13</v>
      </c>
      <c r="M1" s="298" t="s">
        <v>584</v>
      </c>
      <c r="N1" s="306" t="s">
        <v>16</v>
      </c>
    </row>
    <row r="2" spans="1:14">
      <c r="A2" s="299" t="s">
        <v>585</v>
      </c>
      <c r="B2" s="295">
        <v>184</v>
      </c>
      <c r="C2" s="295">
        <v>192</v>
      </c>
      <c r="D2" s="295">
        <v>169</v>
      </c>
      <c r="E2" s="295">
        <v>175</v>
      </c>
      <c r="F2" s="295">
        <v>174</v>
      </c>
      <c r="G2" s="295">
        <v>160</v>
      </c>
      <c r="H2" s="295">
        <v>189</v>
      </c>
      <c r="I2" s="295">
        <v>181</v>
      </c>
      <c r="J2" s="295">
        <v>168</v>
      </c>
      <c r="K2" s="295">
        <v>162</v>
      </c>
      <c r="L2" s="295">
        <v>164</v>
      </c>
      <c r="M2" s="307">
        <v>1918</v>
      </c>
      <c r="N2" s="308">
        <v>174.36363636363635</v>
      </c>
    </row>
    <row r="3" spans="1:14">
      <c r="A3" s="300" t="s">
        <v>586</v>
      </c>
      <c r="B3" s="294">
        <v>2693</v>
      </c>
      <c r="C3" s="294">
        <v>2763</v>
      </c>
      <c r="D3" s="294">
        <v>2587</v>
      </c>
      <c r="E3" s="294">
        <v>3005</v>
      </c>
      <c r="F3" s="294">
        <v>3200</v>
      </c>
      <c r="G3" s="294">
        <v>2941</v>
      </c>
      <c r="H3" s="294">
        <v>3133</v>
      </c>
      <c r="I3" s="294">
        <v>3268</v>
      </c>
      <c r="J3" s="294">
        <v>3204</v>
      </c>
      <c r="K3" s="294">
        <v>3466</v>
      </c>
      <c r="L3" s="294">
        <v>3047</v>
      </c>
      <c r="M3" s="309">
        <v>33307</v>
      </c>
      <c r="N3" s="310">
        <v>3027.909090909091</v>
      </c>
    </row>
    <row r="4" spans="1:14">
      <c r="A4" s="301" t="s">
        <v>587</v>
      </c>
      <c r="B4" s="295">
        <v>9693</v>
      </c>
      <c r="C4" s="295">
        <v>8920</v>
      </c>
      <c r="D4" s="295">
        <v>8985</v>
      </c>
      <c r="E4" s="295">
        <v>9416</v>
      </c>
      <c r="F4" s="295">
        <v>9567</v>
      </c>
      <c r="G4" s="295">
        <v>8830</v>
      </c>
      <c r="H4" s="295">
        <v>9436</v>
      </c>
      <c r="I4" s="295">
        <v>8983</v>
      </c>
      <c r="J4" s="295">
        <v>8706</v>
      </c>
      <c r="K4" s="295">
        <v>8593</v>
      </c>
      <c r="L4" s="295">
        <v>8012</v>
      </c>
      <c r="M4" s="307">
        <v>99141</v>
      </c>
      <c r="N4" s="308">
        <v>9012.818181818182</v>
      </c>
    </row>
    <row r="5" spans="1:14">
      <c r="A5" s="301" t="s">
        <v>588</v>
      </c>
      <c r="B5" s="295">
        <v>13678</v>
      </c>
      <c r="C5" s="295">
        <v>13183</v>
      </c>
      <c r="D5" s="295">
        <v>13615</v>
      </c>
      <c r="E5" s="295">
        <v>13987</v>
      </c>
      <c r="F5" s="295">
        <v>14182</v>
      </c>
      <c r="G5" s="295">
        <v>13822</v>
      </c>
      <c r="H5" s="295">
        <v>13926</v>
      </c>
      <c r="I5" s="295">
        <v>14014</v>
      </c>
      <c r="J5" s="295">
        <v>14112</v>
      </c>
      <c r="K5" s="295">
        <v>14754</v>
      </c>
      <c r="L5" s="295">
        <v>12824</v>
      </c>
      <c r="M5" s="307">
        <v>152097</v>
      </c>
      <c r="N5" s="308">
        <v>13827</v>
      </c>
    </row>
    <row r="6" spans="1:14">
      <c r="A6" s="301" t="s">
        <v>332</v>
      </c>
      <c r="B6" s="295">
        <v>2289</v>
      </c>
      <c r="C6" s="295">
        <v>2370</v>
      </c>
      <c r="D6" s="295">
        <v>2424</v>
      </c>
      <c r="E6" s="295">
        <v>2792</v>
      </c>
      <c r="F6" s="295">
        <v>3679</v>
      </c>
      <c r="G6" s="295">
        <v>3792</v>
      </c>
      <c r="H6" s="295">
        <v>2110</v>
      </c>
      <c r="I6" s="295">
        <v>2180</v>
      </c>
      <c r="J6" s="295">
        <v>1805</v>
      </c>
      <c r="K6" s="295">
        <v>1515</v>
      </c>
      <c r="L6" s="295">
        <v>1485</v>
      </c>
      <c r="M6" s="307">
        <v>26441</v>
      </c>
      <c r="N6" s="308">
        <v>2403.7272727272725</v>
      </c>
    </row>
    <row r="7" spans="1:14">
      <c r="A7" s="301" t="s">
        <v>333</v>
      </c>
      <c r="B7" s="295">
        <v>144</v>
      </c>
      <c r="C7" s="295">
        <v>139</v>
      </c>
      <c r="D7" s="295">
        <v>168</v>
      </c>
      <c r="E7" s="295">
        <v>194</v>
      </c>
      <c r="F7" s="295">
        <v>233</v>
      </c>
      <c r="G7" s="295">
        <v>213</v>
      </c>
      <c r="H7" s="295">
        <v>147</v>
      </c>
      <c r="I7" s="295">
        <v>139</v>
      </c>
      <c r="J7" s="295">
        <v>129</v>
      </c>
      <c r="K7" s="295">
        <v>107</v>
      </c>
      <c r="L7" s="295">
        <v>113</v>
      </c>
      <c r="M7" s="307">
        <v>1726</v>
      </c>
      <c r="N7" s="308">
        <v>156.90909090909091</v>
      </c>
    </row>
    <row r="8" spans="1:14">
      <c r="A8" s="301" t="s">
        <v>186</v>
      </c>
      <c r="B8" s="295">
        <v>47</v>
      </c>
      <c r="C8" s="295">
        <v>120</v>
      </c>
      <c r="D8" s="295">
        <v>47</v>
      </c>
      <c r="E8" s="295">
        <v>46</v>
      </c>
      <c r="F8" s="295">
        <v>70</v>
      </c>
      <c r="G8" s="295">
        <v>72</v>
      </c>
      <c r="H8" s="295">
        <v>79</v>
      </c>
      <c r="I8" s="295">
        <v>49</v>
      </c>
      <c r="J8" s="295">
        <v>81</v>
      </c>
      <c r="K8" s="295">
        <v>52</v>
      </c>
      <c r="L8" s="295">
        <v>80</v>
      </c>
      <c r="M8" s="307">
        <v>743</v>
      </c>
      <c r="N8" s="308">
        <v>67.545454545454547</v>
      </c>
    </row>
    <row r="9" spans="1:14">
      <c r="A9" s="301" t="s">
        <v>290</v>
      </c>
      <c r="B9" s="295">
        <v>35</v>
      </c>
      <c r="C9" s="295">
        <v>30</v>
      </c>
      <c r="D9" s="295">
        <v>59</v>
      </c>
      <c r="E9" s="295">
        <v>61</v>
      </c>
      <c r="F9" s="295">
        <v>84</v>
      </c>
      <c r="G9" s="295">
        <v>32</v>
      </c>
      <c r="H9" s="295">
        <v>48</v>
      </c>
      <c r="I9" s="295">
        <v>62</v>
      </c>
      <c r="J9" s="295">
        <v>50</v>
      </c>
      <c r="K9" s="295">
        <v>34</v>
      </c>
      <c r="L9" s="295">
        <v>18</v>
      </c>
      <c r="M9" s="307">
        <v>513</v>
      </c>
      <c r="N9" s="308">
        <v>46.636363636363633</v>
      </c>
    </row>
    <row r="10" spans="1:14">
      <c r="A10" s="301" t="s">
        <v>302</v>
      </c>
      <c r="B10" s="295">
        <v>30</v>
      </c>
      <c r="C10" s="295">
        <v>31</v>
      </c>
      <c r="D10" s="295">
        <v>32</v>
      </c>
      <c r="E10" s="295">
        <v>23</v>
      </c>
      <c r="F10" s="295">
        <v>34</v>
      </c>
      <c r="G10" s="295">
        <v>31</v>
      </c>
      <c r="H10" s="295">
        <v>29</v>
      </c>
      <c r="I10" s="295">
        <v>31</v>
      </c>
      <c r="J10" s="295">
        <v>32</v>
      </c>
      <c r="K10" s="295">
        <v>39</v>
      </c>
      <c r="L10" s="295">
        <v>46</v>
      </c>
      <c r="M10" s="307">
        <v>358</v>
      </c>
      <c r="N10" s="308">
        <v>32.545454545454547</v>
      </c>
    </row>
    <row r="11" spans="1:14">
      <c r="A11" s="302" t="s">
        <v>324</v>
      </c>
      <c r="B11" s="296">
        <v>1881</v>
      </c>
      <c r="C11" s="296">
        <v>1983</v>
      </c>
      <c r="D11" s="296">
        <v>1854</v>
      </c>
      <c r="E11" s="296">
        <v>2075</v>
      </c>
      <c r="F11" s="296">
        <v>2129</v>
      </c>
      <c r="G11" s="296">
        <v>2081</v>
      </c>
      <c r="H11" s="296">
        <v>2207</v>
      </c>
      <c r="I11" s="296">
        <v>1138</v>
      </c>
      <c r="J11" s="296">
        <v>1578</v>
      </c>
      <c r="K11" s="296">
        <v>1843</v>
      </c>
      <c r="L11" s="296">
        <v>1853</v>
      </c>
      <c r="M11" s="311">
        <v>20622</v>
      </c>
      <c r="N11" s="312">
        <v>1874.7272727272725</v>
      </c>
    </row>
    <row r="12" spans="1:14">
      <c r="A12" s="303" t="s">
        <v>242</v>
      </c>
      <c r="B12" s="296">
        <v>2837</v>
      </c>
      <c r="C12" s="296">
        <v>2011</v>
      </c>
      <c r="D12" s="296">
        <v>2394</v>
      </c>
      <c r="E12" s="296">
        <v>2719</v>
      </c>
      <c r="F12" s="296">
        <v>2776</v>
      </c>
      <c r="G12" s="296">
        <v>2355</v>
      </c>
      <c r="H12" s="296">
        <v>2236</v>
      </c>
      <c r="I12" s="296">
        <v>2278</v>
      </c>
      <c r="J12" s="296">
        <v>2698</v>
      </c>
      <c r="K12" s="296">
        <v>2600</v>
      </c>
      <c r="L12" s="296">
        <v>2182</v>
      </c>
      <c r="M12" s="311">
        <v>27086</v>
      </c>
      <c r="N12" s="312">
        <v>2462.3636363636365</v>
      </c>
    </row>
    <row r="13" spans="1:14">
      <c r="A13" s="302" t="s">
        <v>478</v>
      </c>
      <c r="B13" s="296">
        <v>844</v>
      </c>
      <c r="C13" s="296">
        <v>673</v>
      </c>
      <c r="D13" s="296">
        <v>579</v>
      </c>
      <c r="E13" s="296">
        <v>642</v>
      </c>
      <c r="F13" s="296">
        <v>832</v>
      </c>
      <c r="G13" s="296">
        <v>738</v>
      </c>
      <c r="H13" s="296">
        <v>842</v>
      </c>
      <c r="I13" s="296">
        <v>616</v>
      </c>
      <c r="J13" s="296">
        <v>576</v>
      </c>
      <c r="K13" s="296">
        <v>714</v>
      </c>
      <c r="L13" s="296">
        <v>528</v>
      </c>
      <c r="M13" s="311">
        <v>7584</v>
      </c>
      <c r="N13" s="312">
        <v>689.4545454545455</v>
      </c>
    </row>
    <row r="14" spans="1:14">
      <c r="A14" s="302" t="s">
        <v>479</v>
      </c>
      <c r="B14" s="295">
        <v>535</v>
      </c>
      <c r="C14" s="295">
        <v>566</v>
      </c>
      <c r="D14" s="295">
        <v>294</v>
      </c>
      <c r="E14" s="295">
        <v>408</v>
      </c>
      <c r="F14" s="295">
        <v>367</v>
      </c>
      <c r="G14" s="295">
        <v>288</v>
      </c>
      <c r="H14" s="295">
        <v>361</v>
      </c>
      <c r="I14" s="295">
        <v>293</v>
      </c>
      <c r="J14" s="295">
        <v>224</v>
      </c>
      <c r="K14" s="295">
        <v>270</v>
      </c>
      <c r="L14" s="295">
        <v>353</v>
      </c>
      <c r="M14" s="307">
        <v>3959</v>
      </c>
      <c r="N14" s="308">
        <v>359.90909090909088</v>
      </c>
    </row>
    <row r="15" spans="1:14">
      <c r="A15" s="303" t="s">
        <v>589</v>
      </c>
      <c r="B15" s="296">
        <v>15853</v>
      </c>
      <c r="C15" s="296">
        <v>14922</v>
      </c>
      <c r="D15" s="296">
        <v>14935</v>
      </c>
      <c r="E15" s="296">
        <v>13717</v>
      </c>
      <c r="F15" s="296">
        <v>15155</v>
      </c>
      <c r="G15" s="296">
        <v>15215</v>
      </c>
      <c r="H15" s="296">
        <v>14860</v>
      </c>
      <c r="I15" s="296">
        <v>13795</v>
      </c>
      <c r="J15" s="296">
        <v>14483</v>
      </c>
      <c r="K15" s="296">
        <v>14734</v>
      </c>
      <c r="L15" s="296">
        <v>13326</v>
      </c>
      <c r="M15" s="311">
        <v>160995</v>
      </c>
      <c r="N15" s="312">
        <v>14635.90909090909</v>
      </c>
    </row>
    <row r="16" spans="1:14" ht="15" thickBot="1">
      <c r="A16" s="304" t="s">
        <v>590</v>
      </c>
      <c r="B16" s="305">
        <v>186</v>
      </c>
      <c r="C16" s="305">
        <v>194</v>
      </c>
      <c r="D16" s="305">
        <v>171</v>
      </c>
      <c r="E16" s="305">
        <v>202</v>
      </c>
      <c r="F16" s="305">
        <v>183</v>
      </c>
      <c r="G16" s="305">
        <v>183</v>
      </c>
      <c r="H16" s="305">
        <v>196</v>
      </c>
      <c r="I16" s="305">
        <v>189</v>
      </c>
      <c r="J16" s="305">
        <v>199</v>
      </c>
      <c r="K16" s="305">
        <v>181</v>
      </c>
      <c r="L16" s="305">
        <v>174</v>
      </c>
      <c r="M16" s="313">
        <v>2058</v>
      </c>
      <c r="N16" s="314">
        <v>187.09090909090909</v>
      </c>
    </row>
  </sheetData>
  <pageMargins left="0.511811024" right="0.511811024" top="0.78740157499999996" bottom="0.78740157499999996" header="0.31496062000000002" footer="0.3149606200000000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C7F1E6AD-C357-4AF3-B893-6AA26A5D1B15}">
  <ds:schemaRefs>
    <ds:schemaRef ds:uri="http://schemas.microsoft.com/PowerBIAdd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8</vt:i4>
      </vt:variant>
      <vt:variant>
        <vt:lpstr>Intervalos Nomeados</vt:lpstr>
      </vt:variant>
      <vt:variant>
        <vt:i4>5</vt:i4>
      </vt:variant>
    </vt:vector>
  </HeadingPairs>
  <TitlesOfParts>
    <vt:vector size="13" baseType="lpstr">
      <vt:lpstr>Sumário</vt:lpstr>
      <vt:lpstr>Sumário Provisório</vt:lpstr>
      <vt:lpstr>Plano_Estatístico_2021_HJB</vt:lpstr>
      <vt:lpstr>Planilha1</vt:lpstr>
      <vt:lpstr>% de Ocupação</vt:lpstr>
      <vt:lpstr>% de Ocupação Trimestral</vt:lpstr>
      <vt:lpstr>Média de Permanência</vt:lpstr>
      <vt:lpstr>Resumo_nov.2019</vt:lpstr>
      <vt:lpstr>'% de Ocupação'!Area_de_impressao</vt:lpstr>
      <vt:lpstr>'% de Ocupação Trimestral'!Area_de_impressao</vt:lpstr>
      <vt:lpstr>'Média de Permanência'!Area_de_impressao</vt:lpstr>
      <vt:lpstr>Plano_Estatístico_2021_HJB!Area_de_impressao</vt:lpstr>
      <vt:lpstr>'Sumário Provisório'!Area_de_impressao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 Moraes</dc:creator>
  <cp:lastModifiedBy>Rodrigo da Silva Moraes</cp:lastModifiedBy>
  <cp:lastPrinted>2022-01-12T13:08:20Z</cp:lastPrinted>
  <dcterms:created xsi:type="dcterms:W3CDTF">2016-11-14T11:47:23Z</dcterms:created>
  <dcterms:modified xsi:type="dcterms:W3CDTF">2022-03-09T13:42:31Z</dcterms:modified>
</cp:coreProperties>
</file>